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netapp.ijclab.in2p3.fr\PARTAGES\STIRI\Projets européens\Infrastructures\iSAS\suivi du budget\"/>
    </mc:Choice>
  </mc:AlternateContent>
  <xr:revisionPtr revIDLastSave="0" documentId="8_{486E3B4C-4B5D-4B24-B5F1-1DED72DF6DAE}" xr6:coauthVersionLast="47" xr6:coauthVersionMax="47" xr10:uidLastSave="{00000000-0000-0000-0000-000000000000}"/>
  <bookViews>
    <workbookView xWindow="-110" yWindow="-110" windowWidth="19420" windowHeight="11500" firstSheet="4" activeTab="7" xr2:uid="{47E599AA-E225-4D02-8312-45286713435F}"/>
  </bookViews>
  <sheets>
    <sheet name="Expected per WP" sheetId="2" r:id="rId1"/>
    <sheet name="Expenses per WP" sheetId="1" r:id="rId2"/>
    <sheet name="Ecarts per WP" sheetId="3" r:id="rId3"/>
    <sheet name="Expected per inst" sheetId="4" r:id="rId4"/>
    <sheet name="Expenses per inst" sheetId="7" r:id="rId5"/>
    <sheet name="Ecarts per inst" sheetId="8" r:id="rId6"/>
    <sheet name="Expected matching funds" sheetId="9" r:id="rId7"/>
    <sheet name="EPFL &amp; UKRI funds" sheetId="10"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0" i="10" l="1"/>
  <c r="B10" i="10"/>
  <c r="R8" i="10"/>
  <c r="S7" i="10"/>
  <c r="S6" i="10"/>
  <c r="C8" i="10"/>
  <c r="H8" i="10"/>
  <c r="M6" i="10"/>
  <c r="M7" i="10"/>
  <c r="M8" i="10"/>
  <c r="Q8" i="10"/>
  <c r="G8" i="10"/>
  <c r="I7" i="10"/>
  <c r="B8" i="10"/>
  <c r="L6" i="10"/>
  <c r="I6" i="10"/>
  <c r="D6" i="10"/>
  <c r="S8" i="10" l="1"/>
  <c r="N6" i="10"/>
  <c r="I8" i="10"/>
  <c r="D8" i="10"/>
  <c r="L8" i="10"/>
  <c r="D9" i="10"/>
  <c r="D7" i="10"/>
  <c r="N7" i="10" s="1"/>
  <c r="L7" i="10"/>
  <c r="N8" i="10" l="1"/>
  <c r="D10" i="10"/>
  <c r="E4" i="8" l="1"/>
  <c r="E14" i="8"/>
  <c r="N14" i="8"/>
  <c r="N16" i="8" s="1"/>
  <c r="D14" i="8"/>
  <c r="T15" i="8"/>
  <c r="U18" i="8"/>
  <c r="T16" i="8"/>
  <c r="T17" i="8" s="1"/>
  <c r="Q5" i="1"/>
  <c r="C6" i="1"/>
  <c r="D6" i="1"/>
  <c r="E6" i="1"/>
  <c r="F6" i="1"/>
  <c r="G6" i="1"/>
  <c r="H6" i="1"/>
  <c r="I6" i="1"/>
  <c r="I16" i="3" s="1"/>
  <c r="J6" i="1"/>
  <c r="J16" i="3" s="1"/>
  <c r="K6" i="1"/>
  <c r="L6" i="1"/>
  <c r="L16" i="3" s="1"/>
  <c r="M6" i="1"/>
  <c r="N6" i="1"/>
  <c r="N16" i="3" s="1"/>
  <c r="O6" i="1"/>
  <c r="P6" i="1"/>
  <c r="Q6" i="1"/>
  <c r="R6" i="1"/>
  <c r="S6" i="1"/>
  <c r="T6" i="1"/>
  <c r="S16" i="3"/>
  <c r="U14" i="4"/>
  <c r="B9" i="9"/>
  <c r="B10" i="9" s="1"/>
  <c r="F5" i="2"/>
  <c r="F15" i="3" s="1"/>
  <c r="K6" i="9"/>
  <c r="B7" i="9"/>
  <c r="C7" i="9"/>
  <c r="D7" i="9"/>
  <c r="E7" i="9"/>
  <c r="F7" i="9"/>
  <c r="G7" i="9"/>
  <c r="H7" i="9"/>
  <c r="I7" i="9"/>
  <c r="J7" i="9"/>
  <c r="C5" i="9"/>
  <c r="D5" i="9"/>
  <c r="D9" i="9" s="1"/>
  <c r="D10" i="9" s="1"/>
  <c r="E5" i="9"/>
  <c r="F5" i="9"/>
  <c r="G5" i="9"/>
  <c r="G9" i="9" s="1"/>
  <c r="G10" i="9" s="1"/>
  <c r="H5" i="9"/>
  <c r="I5" i="9"/>
  <c r="J5" i="9"/>
  <c r="B5" i="9"/>
  <c r="K4" i="9"/>
  <c r="K3" i="9"/>
  <c r="K8" i="9"/>
  <c r="D8" i="4"/>
  <c r="B8" i="2"/>
  <c r="B5" i="2"/>
  <c r="K9" i="4"/>
  <c r="E8" i="4"/>
  <c r="I8" i="4"/>
  <c r="K8" i="4"/>
  <c r="L8" i="4"/>
  <c r="M8" i="4"/>
  <c r="P8" i="4"/>
  <c r="Q8" i="4"/>
  <c r="H4" i="2"/>
  <c r="H14" i="3" s="1"/>
  <c r="C16" i="3"/>
  <c r="C15" i="3"/>
  <c r="H15" i="3"/>
  <c r="I15" i="3"/>
  <c r="J15" i="3"/>
  <c r="K15" i="3"/>
  <c r="L15" i="3"/>
  <c r="M15" i="3"/>
  <c r="N15" i="3"/>
  <c r="O15" i="3"/>
  <c r="P15" i="3"/>
  <c r="Q15" i="3"/>
  <c r="R15" i="3"/>
  <c r="S15" i="3"/>
  <c r="T15" i="3"/>
  <c r="B15" i="3"/>
  <c r="C14" i="3"/>
  <c r="D14" i="3"/>
  <c r="E14" i="3"/>
  <c r="G14" i="3"/>
  <c r="I14" i="3"/>
  <c r="J14" i="3"/>
  <c r="L14" i="3"/>
  <c r="N14" i="3"/>
  <c r="S14" i="3"/>
  <c r="B14" i="3"/>
  <c r="U18" i="3"/>
  <c r="I9" i="2"/>
  <c r="C8" i="2"/>
  <c r="I8" i="2"/>
  <c r="J8" i="2"/>
  <c r="L8" i="2"/>
  <c r="N8" i="2"/>
  <c r="S8" i="2"/>
  <c r="T5" i="7"/>
  <c r="T6" i="7" s="1"/>
  <c r="T7" i="7" s="1"/>
  <c r="S5" i="7"/>
  <c r="S5" i="8" s="1"/>
  <c r="S6" i="8" s="1"/>
  <c r="R5" i="7"/>
  <c r="R5" i="8" s="1"/>
  <c r="R6" i="7"/>
  <c r="Q5" i="7"/>
  <c r="Q5" i="8" s="1"/>
  <c r="Q4" i="7"/>
  <c r="Q6" i="7" s="1"/>
  <c r="P5" i="7"/>
  <c r="P5" i="8" s="1"/>
  <c r="P4" i="7"/>
  <c r="O4" i="7"/>
  <c r="O6" i="7" s="1"/>
  <c r="N4" i="7"/>
  <c r="N4" i="8" s="1"/>
  <c r="M5" i="7"/>
  <c r="M5" i="8" s="1"/>
  <c r="M4" i="7"/>
  <c r="M4" i="8" s="1"/>
  <c r="L5" i="7"/>
  <c r="L15" i="8" s="1"/>
  <c r="L4" i="7"/>
  <c r="L6" i="7" s="1"/>
  <c r="K5" i="7"/>
  <c r="K15" i="8" s="1"/>
  <c r="K4" i="7"/>
  <c r="K6" i="7" s="1"/>
  <c r="J4" i="7"/>
  <c r="J6" i="7" s="1"/>
  <c r="J7" i="7" s="1"/>
  <c r="I5" i="7"/>
  <c r="I15" i="8" s="1"/>
  <c r="I4" i="7"/>
  <c r="H5" i="7"/>
  <c r="H15" i="8" s="1"/>
  <c r="H16" i="8" s="1"/>
  <c r="G5" i="7"/>
  <c r="G15" i="8" s="1"/>
  <c r="G16" i="8" s="1"/>
  <c r="F5" i="7"/>
  <c r="F5" i="8" s="1"/>
  <c r="E5" i="7"/>
  <c r="E15" i="8" s="1"/>
  <c r="E4" i="7"/>
  <c r="D5" i="7"/>
  <c r="D5" i="8" s="1"/>
  <c r="D4" i="7"/>
  <c r="D4" i="8" s="1"/>
  <c r="C5" i="7"/>
  <c r="C5" i="8" s="1"/>
  <c r="C6" i="8" s="1"/>
  <c r="C6" i="7"/>
  <c r="B5" i="7"/>
  <c r="B6" i="7" s="1"/>
  <c r="N6" i="7"/>
  <c r="G6" i="7"/>
  <c r="U8" i="8"/>
  <c r="U8" i="7"/>
  <c r="C4" i="3"/>
  <c r="D4" i="3"/>
  <c r="E4" i="3"/>
  <c r="G4" i="3"/>
  <c r="I4" i="3"/>
  <c r="J4" i="3"/>
  <c r="L4" i="3"/>
  <c r="N4" i="3"/>
  <c r="S4" i="3"/>
  <c r="J5" i="3"/>
  <c r="K5" i="3"/>
  <c r="L5" i="3"/>
  <c r="T5" i="3"/>
  <c r="B4" i="3"/>
  <c r="T5" i="4"/>
  <c r="Q5" i="4"/>
  <c r="Q4" i="4"/>
  <c r="P4" i="4"/>
  <c r="O4" i="4"/>
  <c r="O6" i="4" s="1"/>
  <c r="O8" i="4" s="1"/>
  <c r="N4" i="4"/>
  <c r="M4" i="4"/>
  <c r="L4" i="4"/>
  <c r="K5" i="4"/>
  <c r="K4" i="4"/>
  <c r="J4" i="4"/>
  <c r="I4" i="4"/>
  <c r="F5" i="4"/>
  <c r="F6" i="4"/>
  <c r="F8" i="4" s="1"/>
  <c r="E4" i="4"/>
  <c r="D4" i="4"/>
  <c r="U10" i="4"/>
  <c r="Q5" i="2"/>
  <c r="S5" i="4" s="1"/>
  <c r="S15" i="8" l="1"/>
  <c r="S16" i="8" s="1"/>
  <c r="R15" i="8"/>
  <c r="T5" i="8"/>
  <c r="P15" i="8"/>
  <c r="F6" i="7"/>
  <c r="M15" i="8"/>
  <c r="L5" i="8"/>
  <c r="F15" i="8"/>
  <c r="K5" i="8"/>
  <c r="D15" i="8"/>
  <c r="D16" i="8" s="1"/>
  <c r="M6" i="7"/>
  <c r="M7" i="7" s="1"/>
  <c r="P6" i="7"/>
  <c r="C15" i="8"/>
  <c r="C16" i="8" s="1"/>
  <c r="O4" i="8"/>
  <c r="O6" i="8" s="1"/>
  <c r="Q14" i="8"/>
  <c r="I5" i="8"/>
  <c r="P14" i="8"/>
  <c r="P16" i="8" s="1"/>
  <c r="H5" i="8"/>
  <c r="H6" i="8" s="1"/>
  <c r="O14" i="8"/>
  <c r="O16" i="8" s="1"/>
  <c r="Q4" i="8"/>
  <c r="Q6" i="8" s="1"/>
  <c r="G5" i="8"/>
  <c r="G6" i="8" s="1"/>
  <c r="K6" i="8"/>
  <c r="K7" i="8" s="1"/>
  <c r="Q15" i="8"/>
  <c r="Q16" i="8" s="1"/>
  <c r="B5" i="8"/>
  <c r="P4" i="8"/>
  <c r="P6" i="8" s="1"/>
  <c r="M14" i="8"/>
  <c r="E5" i="8"/>
  <c r="E6" i="8" s="1"/>
  <c r="B15" i="8"/>
  <c r="B16" i="8" s="1"/>
  <c r="B17" i="8" s="1"/>
  <c r="L14" i="8"/>
  <c r="L16" i="8" s="1"/>
  <c r="L4" i="8"/>
  <c r="K14" i="8"/>
  <c r="K16" i="8" s="1"/>
  <c r="K17" i="8" s="1"/>
  <c r="K4" i="8"/>
  <c r="J14" i="8"/>
  <c r="J16" i="8" s="1"/>
  <c r="J17" i="8" s="1"/>
  <c r="J4" i="8"/>
  <c r="J6" i="8" s="1"/>
  <c r="J7" i="8" s="1"/>
  <c r="I6" i="7"/>
  <c r="I14" i="8"/>
  <c r="I16" i="8" s="1"/>
  <c r="G17" i="8" s="1"/>
  <c r="I4" i="8"/>
  <c r="T6" i="8"/>
  <c r="T7" i="8" s="1"/>
  <c r="R6" i="8"/>
  <c r="F6" i="8"/>
  <c r="D6" i="8"/>
  <c r="N6" i="8"/>
  <c r="M6" i="8"/>
  <c r="L6" i="8"/>
  <c r="F16" i="8"/>
  <c r="E16" i="8"/>
  <c r="R16" i="8"/>
  <c r="E6" i="7"/>
  <c r="F9" i="9"/>
  <c r="F10" i="9" s="1"/>
  <c r="E9" i="9"/>
  <c r="E10" i="9" s="1"/>
  <c r="C9" i="9"/>
  <c r="C10" i="9" s="1"/>
  <c r="J9" i="9"/>
  <c r="J10" i="9" s="1"/>
  <c r="I9" i="9"/>
  <c r="I10" i="9" s="1"/>
  <c r="H9" i="9"/>
  <c r="H10" i="9" s="1"/>
  <c r="K5" i="9"/>
  <c r="K7" i="9"/>
  <c r="H4" i="3"/>
  <c r="U4" i="3"/>
  <c r="E6" i="3"/>
  <c r="I17" i="3"/>
  <c r="G6" i="3"/>
  <c r="J6" i="4"/>
  <c r="Q6" i="4"/>
  <c r="K6" i="4"/>
  <c r="L6" i="3"/>
  <c r="K6" i="3"/>
  <c r="J6" i="3"/>
  <c r="Q5" i="3"/>
  <c r="Q6" i="3" s="1"/>
  <c r="D6" i="3"/>
  <c r="S6" i="4"/>
  <c r="S8" i="4" s="1"/>
  <c r="T6" i="3"/>
  <c r="N6" i="4"/>
  <c r="N8" i="4" s="1"/>
  <c r="D6" i="7"/>
  <c r="B7" i="7"/>
  <c r="S6" i="7"/>
  <c r="H6" i="7"/>
  <c r="T6" i="4"/>
  <c r="T7" i="4" s="1"/>
  <c r="U5" i="7"/>
  <c r="K7" i="7"/>
  <c r="U4" i="7"/>
  <c r="U4" i="4"/>
  <c r="P7" i="7" l="1"/>
  <c r="M16" i="8"/>
  <c r="M17" i="8" s="1"/>
  <c r="U4" i="8"/>
  <c r="U5" i="8"/>
  <c r="B6" i="8"/>
  <c r="B7" i="8" s="1"/>
  <c r="U14" i="8"/>
  <c r="M7" i="8"/>
  <c r="G7" i="7"/>
  <c r="P7" i="8"/>
  <c r="I6" i="8"/>
  <c r="G7" i="8" s="1"/>
  <c r="D7" i="8"/>
  <c r="U7" i="8" s="1"/>
  <c r="J7" i="4"/>
  <c r="J8" i="4"/>
  <c r="T8" i="4"/>
  <c r="T9" i="4"/>
  <c r="D17" i="8"/>
  <c r="P17" i="8"/>
  <c r="D7" i="7"/>
  <c r="K9" i="9"/>
  <c r="K10" i="9" s="1"/>
  <c r="U6" i="7"/>
  <c r="U7" i="7" l="1"/>
  <c r="U6" i="8"/>
  <c r="J9" i="4"/>
  <c r="S5" i="2"/>
  <c r="R5" i="2"/>
  <c r="Q6" i="2"/>
  <c r="P5" i="2"/>
  <c r="O5" i="2"/>
  <c r="N5" i="2"/>
  <c r="M5" i="2"/>
  <c r="I5" i="2"/>
  <c r="H5" i="2"/>
  <c r="D6" i="2"/>
  <c r="E6" i="2"/>
  <c r="G6" i="2"/>
  <c r="J6" i="2"/>
  <c r="K6" i="2"/>
  <c r="L6" i="2"/>
  <c r="P6" i="2"/>
  <c r="T6" i="2"/>
  <c r="C5" i="2"/>
  <c r="U8" i="3"/>
  <c r="Q7" i="3"/>
  <c r="K7" i="3"/>
  <c r="D7" i="3"/>
  <c r="U10" i="2"/>
  <c r="U4" i="2"/>
  <c r="U5" i="1"/>
  <c r="U4" i="1"/>
  <c r="K7" i="1"/>
  <c r="S7" i="1"/>
  <c r="U8" i="1"/>
  <c r="D7" i="1"/>
  <c r="I7" i="1"/>
  <c r="Q7" i="1"/>
  <c r="R7" i="1"/>
  <c r="B6" i="1"/>
  <c r="B7" i="1" s="1"/>
  <c r="G8" i="2" l="1"/>
  <c r="G16" i="3"/>
  <c r="E8" i="2"/>
  <c r="E16" i="3"/>
  <c r="Q7" i="2"/>
  <c r="Q8" i="2"/>
  <c r="Q16" i="3"/>
  <c r="Q17" i="3" s="1"/>
  <c r="P8" i="2"/>
  <c r="P16" i="3"/>
  <c r="T8" i="2"/>
  <c r="T16" i="3"/>
  <c r="S17" i="3" s="1"/>
  <c r="K8" i="2"/>
  <c r="K7" i="2"/>
  <c r="K9" i="2" s="1"/>
  <c r="K16" i="3"/>
  <c r="K17" i="3" s="1"/>
  <c r="U14" i="3"/>
  <c r="D8" i="2"/>
  <c r="D16" i="3"/>
  <c r="D17" i="3" s="1"/>
  <c r="B6" i="2"/>
  <c r="D5" i="4"/>
  <c r="D6" i="4" s="1"/>
  <c r="B5" i="3"/>
  <c r="C6" i="2"/>
  <c r="M5" i="4"/>
  <c r="M6" i="4" s="1"/>
  <c r="M7" i="4" s="1"/>
  <c r="M9" i="4" s="1"/>
  <c r="C5" i="3"/>
  <c r="C6" i="3" s="1"/>
  <c r="O6" i="2"/>
  <c r="O5" i="3"/>
  <c r="O6" i="3" s="1"/>
  <c r="C5" i="4"/>
  <c r="C6" i="4" s="1"/>
  <c r="C8" i="4" s="1"/>
  <c r="R5" i="4"/>
  <c r="R6" i="4" s="1"/>
  <c r="R8" i="4" s="1"/>
  <c r="P5" i="3"/>
  <c r="P6" i="3" s="1"/>
  <c r="H6" i="2"/>
  <c r="P5" i="4"/>
  <c r="P6" i="4" s="1"/>
  <c r="H5" i="3"/>
  <c r="H6" i="3" s="1"/>
  <c r="I6" i="2"/>
  <c r="I7" i="2" s="1"/>
  <c r="I5" i="3"/>
  <c r="I6" i="3" s="1"/>
  <c r="I7" i="3" s="1"/>
  <c r="E5" i="4"/>
  <c r="E6" i="4" s="1"/>
  <c r="M6" i="2"/>
  <c r="M5" i="3"/>
  <c r="M6" i="3" s="1"/>
  <c r="G5" i="4"/>
  <c r="G6" i="4" s="1"/>
  <c r="G8" i="4" s="1"/>
  <c r="N6" i="2"/>
  <c r="N5" i="3"/>
  <c r="N6" i="3" s="1"/>
  <c r="L5" i="4"/>
  <c r="L6" i="4" s="1"/>
  <c r="K7" i="4" s="1"/>
  <c r="R6" i="2"/>
  <c r="H5" i="4"/>
  <c r="H6" i="4" s="1"/>
  <c r="H8" i="4" s="1"/>
  <c r="R5" i="3"/>
  <c r="R6" i="3" s="1"/>
  <c r="R7" i="3" s="1"/>
  <c r="S6" i="2"/>
  <c r="S7" i="2" s="1"/>
  <c r="S9" i="2" s="1"/>
  <c r="S5" i="3"/>
  <c r="S6" i="3" s="1"/>
  <c r="S7" i="3" s="1"/>
  <c r="I5" i="4"/>
  <c r="I6" i="4" s="1"/>
  <c r="F6" i="2"/>
  <c r="F8" i="2" s="1"/>
  <c r="B5" i="4"/>
  <c r="F5" i="3"/>
  <c r="F6" i="3" s="1"/>
  <c r="D7" i="2"/>
  <c r="U5" i="2"/>
  <c r="U15" i="3" s="1"/>
  <c r="F7" i="1"/>
  <c r="M7" i="1"/>
  <c r="U6" i="1"/>
  <c r="Q9" i="2" l="1"/>
  <c r="R7" i="2"/>
  <c r="R9" i="2" s="1"/>
  <c r="R8" i="2"/>
  <c r="R16" i="3"/>
  <c r="R17" i="3" s="1"/>
  <c r="M8" i="2"/>
  <c r="M16" i="3"/>
  <c r="O16" i="3"/>
  <c r="O8" i="2"/>
  <c r="F7" i="2"/>
  <c r="F9" i="2" s="1"/>
  <c r="F16" i="3"/>
  <c r="D7" i="4"/>
  <c r="D9" i="4" s="1"/>
  <c r="B7" i="2"/>
  <c r="B9" i="2" s="1"/>
  <c r="B16" i="3"/>
  <c r="B17" i="3" s="1"/>
  <c r="H8" i="2"/>
  <c r="H16" i="3"/>
  <c r="D9" i="2"/>
  <c r="U6" i="2"/>
  <c r="U16" i="3" s="1"/>
  <c r="M7" i="3"/>
  <c r="F7" i="3"/>
  <c r="G7" i="4"/>
  <c r="G9" i="4" s="1"/>
  <c r="M7" i="2"/>
  <c r="B6" i="4"/>
  <c r="U5" i="4"/>
  <c r="U15" i="8" s="1"/>
  <c r="U16" i="8" s="1"/>
  <c r="U17" i="8" s="1"/>
  <c r="U5" i="3"/>
  <c r="B6" i="3"/>
  <c r="P7" i="4"/>
  <c r="P9" i="4" s="1"/>
  <c r="U7" i="1"/>
  <c r="U8" i="2" l="1"/>
  <c r="M9" i="2"/>
  <c r="U9" i="2" s="1"/>
  <c r="M17" i="3"/>
  <c r="B8" i="4"/>
  <c r="U8" i="4" s="1"/>
  <c r="F17" i="3"/>
  <c r="U7" i="2"/>
  <c r="U17" i="3" s="1"/>
  <c r="B7" i="4"/>
  <c r="U6" i="4"/>
  <c r="U6" i="3"/>
  <c r="B7" i="3"/>
  <c r="U7" i="3" s="1"/>
  <c r="U7" i="4" l="1"/>
  <c r="B9" i="4"/>
  <c r="U9"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adele de-valera</author>
  </authors>
  <commentList>
    <comment ref="B4" authorId="0" shapeId="0" xr:uid="{F2D00138-22E2-4C26-8F6D-CE7DB1EEB1FA}">
      <text>
        <r>
          <rPr>
            <b/>
            <sz val="9"/>
            <color indexed="81"/>
            <rFont val="Tahoma"/>
            <family val="2"/>
          </rPr>
          <t>adele de-valera:</t>
        </r>
        <r>
          <rPr>
            <sz val="9"/>
            <color indexed="81"/>
            <rFont val="Tahoma"/>
            <family val="2"/>
          </rPr>
          <t xml:space="preserve">
6 525 expected in senior &amp; 209 844 for junior scientists </t>
        </r>
      </text>
    </comment>
    <comment ref="C4" authorId="0" shapeId="0" xr:uid="{547F83DA-1C5F-40A1-900C-2CE5A37463C0}">
      <text>
        <r>
          <rPr>
            <b/>
            <sz val="9"/>
            <color indexed="81"/>
            <rFont val="Tahoma"/>
            <family val="2"/>
          </rPr>
          <t>adele de-valera:</t>
        </r>
        <r>
          <rPr>
            <sz val="9"/>
            <color indexed="81"/>
            <rFont val="Tahoma"/>
            <family val="2"/>
          </rPr>
          <t xml:space="preserve">
255 300 expected in junior scientists</t>
        </r>
      </text>
    </comment>
    <comment ref="D4" authorId="0" shapeId="0" xr:uid="{B5CE4464-B797-4BBF-A05D-8B0B6EDF76F6}">
      <text>
        <r>
          <rPr>
            <b/>
            <sz val="9"/>
            <color indexed="81"/>
            <rFont val="Tahoma"/>
            <family val="2"/>
          </rPr>
          <t>adele de-valera:</t>
        </r>
        <r>
          <rPr>
            <sz val="9"/>
            <color indexed="81"/>
            <rFont val="Tahoma"/>
            <family val="2"/>
          </rPr>
          <t xml:space="preserve">
230 000 expected in junior scientists</t>
        </r>
      </text>
    </comment>
    <comment ref="E4" authorId="0" shapeId="0" xr:uid="{A94F270D-0489-4D13-BAB4-A5625A005CA7}">
      <text>
        <r>
          <rPr>
            <b/>
            <sz val="9"/>
            <color indexed="81"/>
            <rFont val="Tahoma"/>
            <family val="2"/>
          </rPr>
          <t>adele de-valera:</t>
        </r>
        <r>
          <rPr>
            <sz val="9"/>
            <color indexed="81"/>
            <rFont val="Tahoma"/>
            <family val="2"/>
          </rPr>
          <t xml:space="preserve">
169 050 expected in junior scientists</t>
        </r>
      </text>
    </comment>
    <comment ref="F4" authorId="0" shapeId="0" xr:uid="{4BC8301A-4978-4724-ACAD-153163BF1465}">
      <text>
        <r>
          <rPr>
            <b/>
            <sz val="9"/>
            <color indexed="81"/>
            <rFont val="Tahoma"/>
            <family val="2"/>
          </rPr>
          <t>adele de-valera:</t>
        </r>
        <r>
          <rPr>
            <sz val="9"/>
            <color indexed="81"/>
            <rFont val="Tahoma"/>
            <family val="2"/>
          </rPr>
          <t xml:space="preserve">
N/A</t>
        </r>
      </text>
    </comment>
    <comment ref="G4" authorId="0" shapeId="0" xr:uid="{C9842DF4-A6B1-457B-A075-B1107FE135BE}">
      <text>
        <r>
          <rPr>
            <b/>
            <sz val="9"/>
            <color indexed="81"/>
            <rFont val="Tahoma"/>
            <family val="2"/>
          </rPr>
          <t>adele de-valera:</t>
        </r>
        <r>
          <rPr>
            <sz val="9"/>
            <color indexed="81"/>
            <rFont val="Tahoma"/>
            <family val="2"/>
          </rPr>
          <t xml:space="preserve">
200 100 expected in senior scientists</t>
        </r>
      </text>
    </comment>
    <comment ref="H4" authorId="0" shapeId="0" xr:uid="{A5E3AF56-705E-4C2C-995D-E126BFE48FCA}">
      <text>
        <r>
          <rPr>
            <b/>
            <sz val="9"/>
            <color indexed="81"/>
            <rFont val="Tahoma"/>
            <family val="2"/>
          </rPr>
          <t>adele de-valera:</t>
        </r>
        <r>
          <rPr>
            <sz val="9"/>
            <color indexed="81"/>
            <rFont val="Tahoma"/>
            <family val="2"/>
          </rPr>
          <t xml:space="preserve">
10 000 expected in senior and 
120 000 in junior scientists</t>
        </r>
      </text>
    </comment>
    <comment ref="I4" authorId="0" shapeId="0" xr:uid="{827EBA93-73E1-4746-A123-2DE2BD410F59}">
      <text>
        <r>
          <rPr>
            <b/>
            <sz val="9"/>
            <color indexed="81"/>
            <rFont val="Tahoma"/>
            <family val="2"/>
          </rPr>
          <t>adele de-valera:</t>
        </r>
        <r>
          <rPr>
            <sz val="9"/>
            <color indexed="81"/>
            <rFont val="Tahoma"/>
            <family val="2"/>
          </rPr>
          <t xml:space="preserve">
53 000 expected in junior scientists</t>
        </r>
      </text>
    </comment>
    <comment ref="J4" authorId="0" shapeId="0" xr:uid="{3804D459-FC0B-4A3B-9BFE-43DC4DFF83E6}">
      <text>
        <r>
          <rPr>
            <b/>
            <sz val="9"/>
            <color indexed="81"/>
            <rFont val="Tahoma"/>
            <family val="2"/>
          </rPr>
          <t>adele de-valera:</t>
        </r>
        <r>
          <rPr>
            <sz val="9"/>
            <color indexed="81"/>
            <rFont val="Tahoma"/>
            <family val="2"/>
          </rPr>
          <t xml:space="preserve">
120 000 expected in junior scientists</t>
        </r>
      </text>
    </comment>
    <comment ref="K4" authorId="0" shapeId="0" xr:uid="{C7291BB9-F6BD-4AFE-993E-C944133B9CC7}">
      <text>
        <r>
          <rPr>
            <b/>
            <sz val="9"/>
            <color indexed="81"/>
            <rFont val="Tahoma"/>
            <family val="2"/>
          </rPr>
          <t>adele de-valera:</t>
        </r>
        <r>
          <rPr>
            <sz val="9"/>
            <color indexed="81"/>
            <rFont val="Tahoma"/>
            <family val="2"/>
          </rPr>
          <t xml:space="preserve">
N/A
</t>
        </r>
      </text>
    </comment>
    <comment ref="L4" authorId="0" shapeId="0" xr:uid="{E26B9E62-CE17-4752-B686-CE8FE505A0D1}">
      <text>
        <r>
          <rPr>
            <b/>
            <sz val="9"/>
            <color indexed="81"/>
            <rFont val="Tahoma"/>
            <family val="2"/>
          </rPr>
          <t>adele de-valera:</t>
        </r>
        <r>
          <rPr>
            <sz val="9"/>
            <color indexed="81"/>
            <rFont val="Tahoma"/>
            <family val="2"/>
          </rPr>
          <t xml:space="preserve">
75 000 expected in junior scientists</t>
        </r>
      </text>
    </comment>
    <comment ref="M4" authorId="0" shapeId="0" xr:uid="{6DAD20BE-E131-4D31-9CE8-6C4C9F93877F}">
      <text>
        <r>
          <rPr>
            <b/>
            <sz val="9"/>
            <color indexed="81"/>
            <rFont val="Tahoma"/>
            <family val="2"/>
          </rPr>
          <t>adele de-valera:</t>
        </r>
        <r>
          <rPr>
            <sz val="9"/>
            <color indexed="81"/>
            <rFont val="Tahoma"/>
            <family val="2"/>
          </rPr>
          <t xml:space="preserve">
N/A
</t>
        </r>
      </text>
    </comment>
    <comment ref="N4" authorId="0" shapeId="0" xr:uid="{80C54E2D-0FFD-4F9B-A386-3429F1098A8B}">
      <text>
        <r>
          <rPr>
            <b/>
            <sz val="9"/>
            <color indexed="81"/>
            <rFont val="Tahoma"/>
            <family val="2"/>
          </rPr>
          <t>adele de-valera:</t>
        </r>
        <r>
          <rPr>
            <sz val="9"/>
            <color indexed="81"/>
            <rFont val="Tahoma"/>
            <family val="2"/>
          </rPr>
          <t xml:space="preserve">
75 000 expected in junior scientists</t>
        </r>
      </text>
    </comment>
    <comment ref="O4" authorId="0" shapeId="0" xr:uid="{871D75ED-CEDD-4E87-8232-B899E66E58B8}">
      <text>
        <r>
          <rPr>
            <b/>
            <sz val="9"/>
            <color indexed="81"/>
            <rFont val="Tahoma"/>
            <family val="2"/>
          </rPr>
          <t>adele de-valera:</t>
        </r>
        <r>
          <rPr>
            <sz val="9"/>
            <color indexed="81"/>
            <rFont val="Tahoma"/>
            <family val="2"/>
          </rPr>
          <t xml:space="preserve">
N/A</t>
        </r>
      </text>
    </comment>
    <comment ref="P4" authorId="0" shapeId="0" xr:uid="{8D12CBB3-D01D-421C-BA53-7AFFFC5C78C6}">
      <text>
        <r>
          <rPr>
            <b/>
            <sz val="9"/>
            <color indexed="81"/>
            <rFont val="Tahoma"/>
            <family val="2"/>
          </rPr>
          <t>adele de-valera:</t>
        </r>
        <r>
          <rPr>
            <sz val="9"/>
            <color indexed="81"/>
            <rFont val="Tahoma"/>
            <family val="2"/>
          </rPr>
          <t xml:space="preserve">
N/A</t>
        </r>
      </text>
    </comment>
    <comment ref="Q4" authorId="0" shapeId="0" xr:uid="{0A403F03-6AE7-4363-98EA-893C5C48B849}">
      <text>
        <r>
          <rPr>
            <b/>
            <sz val="9"/>
            <color indexed="81"/>
            <rFont val="Tahoma"/>
            <family val="2"/>
          </rPr>
          <t>adele de-valera:</t>
        </r>
        <r>
          <rPr>
            <sz val="9"/>
            <color indexed="81"/>
            <rFont val="Tahoma"/>
            <family val="2"/>
          </rPr>
          <t xml:space="preserve">
N/A</t>
        </r>
      </text>
    </comment>
    <comment ref="R4" authorId="0" shapeId="0" xr:uid="{EF819336-501A-4C31-B7AF-4869876EC5D2}">
      <text>
        <r>
          <rPr>
            <b/>
            <sz val="9"/>
            <color indexed="81"/>
            <rFont val="Tahoma"/>
            <family val="2"/>
          </rPr>
          <t>adele de-valera:</t>
        </r>
        <r>
          <rPr>
            <sz val="9"/>
            <color indexed="81"/>
            <rFont val="Tahoma"/>
            <family val="2"/>
          </rPr>
          <t xml:space="preserve">
N/A</t>
        </r>
      </text>
    </comment>
    <comment ref="S4" authorId="0" shapeId="0" xr:uid="{9E114CBE-EF92-4285-809D-7F6ACE4B4454}">
      <text>
        <r>
          <rPr>
            <b/>
            <sz val="9"/>
            <color indexed="81"/>
            <rFont val="Tahoma"/>
            <family val="2"/>
          </rPr>
          <t>adele de-valera:</t>
        </r>
        <r>
          <rPr>
            <sz val="9"/>
            <color indexed="81"/>
            <rFont val="Tahoma"/>
            <family val="2"/>
          </rPr>
          <t xml:space="preserve">
for iSAS EPM
</t>
        </r>
      </text>
    </comment>
    <comment ref="T4" authorId="0" shapeId="0" xr:uid="{179A1C1D-F928-45D2-92DD-65719FD112E7}">
      <text>
        <r>
          <rPr>
            <b/>
            <sz val="9"/>
            <color indexed="81"/>
            <rFont val="Tahoma"/>
            <family val="2"/>
          </rPr>
          <t>adele de-valera:</t>
        </r>
        <r>
          <rPr>
            <sz val="9"/>
            <color indexed="81"/>
            <rFont val="Tahoma"/>
            <family val="2"/>
          </rPr>
          <t xml:space="preserve">
N/A</t>
        </r>
      </text>
    </comment>
    <comment ref="A5" authorId="0" shapeId="0" xr:uid="{4E0E7FEC-ABFF-4278-B69C-E83B547A41D9}">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B5" authorId="0" shapeId="0" xr:uid="{C1B54DBB-92BA-4A04-AAEE-BA6A695EC856}">
      <text>
        <r>
          <rPr>
            <b/>
            <sz val="9"/>
            <color indexed="81"/>
            <rFont val="Tahoma"/>
            <family val="2"/>
          </rPr>
          <t>adele de-valera:</t>
        </r>
        <r>
          <rPr>
            <sz val="9"/>
            <color indexed="81"/>
            <rFont val="Tahoma"/>
            <family val="2"/>
          </rPr>
          <t xml:space="preserve">
50 000 expected in subcontracting 
5 000 expected in travel
13 750 expected in equipment
45 000 expected in consumables</t>
        </r>
      </text>
    </comment>
    <comment ref="C5" authorId="0" shapeId="0" xr:uid="{EACB2AE4-685D-4237-B026-76D29856A12B}">
      <text>
        <r>
          <rPr>
            <b/>
            <sz val="9"/>
            <color indexed="81"/>
            <rFont val="Tahoma"/>
            <family val="2"/>
          </rPr>
          <t>adele de-valera:</t>
        </r>
        <r>
          <rPr>
            <sz val="9"/>
            <color indexed="81"/>
            <rFont val="Tahoma"/>
            <family val="2"/>
          </rPr>
          <t xml:space="preserve">
16 000 expected in travel
200 000 expected in consumables</t>
        </r>
      </text>
    </comment>
    <comment ref="D5" authorId="0" shapeId="0" xr:uid="{3B891213-1917-470C-9684-A9A7F9723681}">
      <text>
        <r>
          <rPr>
            <b/>
            <sz val="9"/>
            <color indexed="81"/>
            <rFont val="Tahoma"/>
            <family val="2"/>
          </rPr>
          <t>adele de-valera:</t>
        </r>
        <r>
          <rPr>
            <sz val="9"/>
            <color indexed="81"/>
            <rFont val="Tahoma"/>
            <family val="2"/>
          </rPr>
          <t xml:space="preserve">
N/A</t>
        </r>
      </text>
    </comment>
    <comment ref="E5" authorId="0" shapeId="0" xr:uid="{2C79500B-5454-40F4-B03D-9AEAC903AF2C}">
      <text>
        <r>
          <rPr>
            <b/>
            <sz val="9"/>
            <color indexed="81"/>
            <rFont val="Tahoma"/>
            <family val="2"/>
          </rPr>
          <t>adele de-valera:</t>
        </r>
        <r>
          <rPr>
            <sz val="9"/>
            <color indexed="81"/>
            <rFont val="Tahoma"/>
            <family val="2"/>
          </rPr>
          <t xml:space="preserve">
N/A</t>
        </r>
      </text>
    </comment>
    <comment ref="F5" authorId="0" shapeId="0" xr:uid="{840E1F79-E066-4082-9518-07DDBAD1A1B2}">
      <text>
        <r>
          <rPr>
            <b/>
            <sz val="9"/>
            <color indexed="81"/>
            <rFont val="Tahoma"/>
            <family val="2"/>
          </rPr>
          <t>adele de-valera:</t>
        </r>
        <r>
          <rPr>
            <sz val="9"/>
            <color indexed="81"/>
            <rFont val="Tahoma"/>
            <family val="2"/>
          </rPr>
          <t xml:space="preserve">
10 000 expected in subcontracting
2 000 expected in travel
15 000 expected in equipment
72 000 expected in consumables</t>
        </r>
      </text>
    </comment>
    <comment ref="G5" authorId="0" shapeId="0" xr:uid="{8C6A6317-455E-42F7-8BA6-7639C698B060}">
      <text>
        <r>
          <rPr>
            <b/>
            <sz val="9"/>
            <color indexed="81"/>
            <rFont val="Tahoma"/>
            <family val="2"/>
          </rPr>
          <t>adele de-valera:</t>
        </r>
        <r>
          <rPr>
            <sz val="9"/>
            <color indexed="81"/>
            <rFont val="Tahoma"/>
            <family val="2"/>
          </rPr>
          <t xml:space="preserve">
N/A</t>
        </r>
      </text>
    </comment>
    <comment ref="H5" authorId="0" shapeId="0" xr:uid="{0C7C07FF-F763-403E-88E1-C9A84526E30E}">
      <text>
        <r>
          <rPr>
            <b/>
            <sz val="9"/>
            <color indexed="81"/>
            <rFont val="Tahoma"/>
            <family val="2"/>
          </rPr>
          <t>adele de-valera:</t>
        </r>
        <r>
          <rPr>
            <sz val="9"/>
            <color indexed="81"/>
            <rFont val="Tahoma"/>
            <family val="2"/>
          </rPr>
          <t xml:space="preserve">
10 000 expected in travel
60 000 expected in consumables</t>
        </r>
      </text>
    </comment>
    <comment ref="I5" authorId="0" shapeId="0" xr:uid="{5C190C7F-3A96-463F-80FE-59C1D44FFFC9}">
      <text>
        <r>
          <rPr>
            <b/>
            <sz val="9"/>
            <color indexed="81"/>
            <rFont val="Tahoma"/>
            <family val="2"/>
          </rPr>
          <t>adele de-valera:</t>
        </r>
        <r>
          <rPr>
            <sz val="9"/>
            <color indexed="81"/>
            <rFont val="Tahoma"/>
            <family val="2"/>
          </rPr>
          <t xml:space="preserve">
3 000 expected in travel
228 750 expected in equipment
50 000 expected in consumables</t>
        </r>
      </text>
    </comment>
    <comment ref="J5" authorId="0" shapeId="0" xr:uid="{C7C3751F-71C3-472B-AB61-31262E6C44D6}">
      <text>
        <r>
          <rPr>
            <b/>
            <sz val="9"/>
            <color indexed="81"/>
            <rFont val="Tahoma"/>
            <family val="2"/>
          </rPr>
          <t>adele de-valera:</t>
        </r>
        <r>
          <rPr>
            <sz val="9"/>
            <color indexed="81"/>
            <rFont val="Tahoma"/>
            <family val="2"/>
          </rPr>
          <t xml:space="preserve">
3 000 expected in travel</t>
        </r>
      </text>
    </comment>
    <comment ref="K5" authorId="0" shapeId="0" xr:uid="{6FF67AD8-323F-44CD-88E5-1914F49C31BD}">
      <text>
        <r>
          <rPr>
            <b/>
            <sz val="9"/>
            <color indexed="81"/>
            <rFont val="Tahoma"/>
            <family val="2"/>
          </rPr>
          <t>adele de-valera:</t>
        </r>
        <r>
          <rPr>
            <sz val="9"/>
            <color indexed="81"/>
            <rFont val="Tahoma"/>
            <family val="2"/>
          </rPr>
          <t xml:space="preserve">
2 000 expected in travel</t>
        </r>
      </text>
    </comment>
    <comment ref="L5" authorId="0" shapeId="0" xr:uid="{DCF00441-D557-42CE-A05A-6164CD60014C}">
      <text>
        <r>
          <rPr>
            <b/>
            <sz val="9"/>
            <color indexed="81"/>
            <rFont val="Tahoma"/>
            <family val="2"/>
          </rPr>
          <t>adele de-valera:</t>
        </r>
        <r>
          <rPr>
            <sz val="9"/>
            <color indexed="81"/>
            <rFont val="Tahoma"/>
            <family val="2"/>
          </rPr>
          <t xml:space="preserve">
5 000 expected in others</t>
        </r>
      </text>
    </comment>
    <comment ref="M5" authorId="0" shapeId="0" xr:uid="{B1449249-00AA-4244-81E3-EDEC905DF869}">
      <text>
        <r>
          <rPr>
            <b/>
            <sz val="9"/>
            <color indexed="81"/>
            <rFont val="Tahoma"/>
            <family val="2"/>
          </rPr>
          <t>adele de-valera:</t>
        </r>
        <r>
          <rPr>
            <sz val="9"/>
            <color indexed="81"/>
            <rFont val="Tahoma"/>
            <family val="2"/>
          </rPr>
          <t xml:space="preserve">
2 000 expected in travel 
736 000 expected in equipment (debate ongoing whether niobium is to be considered consumable or equipment)</t>
        </r>
      </text>
    </comment>
    <comment ref="N5" authorId="0" shapeId="0" xr:uid="{9D9077EA-6998-407E-B4A8-44A2DFF22934}">
      <text>
        <r>
          <rPr>
            <b/>
            <sz val="9"/>
            <color indexed="81"/>
            <rFont val="Tahoma"/>
            <family val="2"/>
          </rPr>
          <t>adele de-valera:</t>
        </r>
        <r>
          <rPr>
            <sz val="9"/>
            <color indexed="81"/>
            <rFont val="Tahoma"/>
            <family val="2"/>
          </rPr>
          <t xml:space="preserve">
22 000 expected in travel
100 000 expected in consumables</t>
        </r>
      </text>
    </comment>
    <comment ref="O5" authorId="0" shapeId="0" xr:uid="{02353D42-968F-4828-8B07-FE442CCF11FB}">
      <text>
        <r>
          <rPr>
            <b/>
            <sz val="9"/>
            <color indexed="81"/>
            <rFont val="Tahoma"/>
            <family val="2"/>
          </rPr>
          <t>adele de-valera:</t>
        </r>
        <r>
          <rPr>
            <sz val="9"/>
            <color indexed="81"/>
            <rFont val="Tahoma"/>
            <family val="2"/>
          </rPr>
          <t xml:space="preserve">
2 000 expected in travel
250 000 expected in consumables</t>
        </r>
      </text>
    </comment>
    <comment ref="P5" authorId="0" shapeId="0" xr:uid="{A0F9B184-5A7F-4673-B516-3562487E6826}">
      <text>
        <r>
          <rPr>
            <b/>
            <sz val="9"/>
            <color indexed="81"/>
            <rFont val="Tahoma"/>
            <family val="2"/>
          </rPr>
          <t>adele de-valera:</t>
        </r>
        <r>
          <rPr>
            <sz val="9"/>
            <color indexed="81"/>
            <rFont val="Tahoma"/>
            <family val="2"/>
          </rPr>
          <t xml:space="preserve">
2 000 expected in travel
104 000 expected in consumables</t>
        </r>
      </text>
    </comment>
    <comment ref="Q5" authorId="0" shapeId="0" xr:uid="{184DF407-3B26-4E89-B09F-8E2DDEE16107}">
      <text>
        <r>
          <rPr>
            <b/>
            <sz val="9"/>
            <color indexed="81"/>
            <rFont val="Tahoma"/>
            <family val="2"/>
          </rPr>
          <t>adele de-valera:</t>
        </r>
        <r>
          <rPr>
            <sz val="9"/>
            <color indexed="81"/>
            <rFont val="Tahoma"/>
            <family val="2"/>
          </rPr>
          <t xml:space="preserve">
2000 expected in subcontracting
32000 expected in travel
6000 allocated in services for dissemination activities (website) </t>
        </r>
      </text>
    </comment>
    <comment ref="R5" authorId="0" shapeId="0" xr:uid="{C3500A51-8CFF-495C-8FA9-D7AE101B284F}">
      <text>
        <r>
          <rPr>
            <b/>
            <sz val="9"/>
            <color indexed="81"/>
            <rFont val="Tahoma"/>
            <family val="2"/>
          </rPr>
          <t>adele de-valera:</t>
        </r>
        <r>
          <rPr>
            <sz val="9"/>
            <color indexed="81"/>
            <rFont val="Tahoma"/>
            <family val="2"/>
          </rPr>
          <t xml:space="preserve">
30 000 expected in travel
5 000 expeted in publication fees</t>
        </r>
      </text>
    </comment>
    <comment ref="S5" authorId="0" shapeId="0" xr:uid="{B8262F26-C812-4F47-8F93-31571A23A9F4}">
      <text>
        <r>
          <rPr>
            <b/>
            <sz val="9"/>
            <color indexed="81"/>
            <rFont val="Tahoma"/>
            <family val="2"/>
          </rPr>
          <t>adele de-valera:</t>
        </r>
        <r>
          <rPr>
            <sz val="9"/>
            <color indexed="81"/>
            <rFont val="Tahoma"/>
            <family val="2"/>
          </rPr>
          <t xml:space="preserve">
11 000 expected in travel
5 000 expected in publication fees
1 000 expected in others like shipment</t>
        </r>
      </text>
    </comment>
    <comment ref="T5" authorId="0" shapeId="0" xr:uid="{91C5EA9D-4353-443D-A467-4E611FB54C06}">
      <text>
        <r>
          <rPr>
            <b/>
            <sz val="9"/>
            <color indexed="81"/>
            <rFont val="Tahoma"/>
            <family val="2"/>
          </rPr>
          <t>adele de-valera:</t>
        </r>
        <r>
          <rPr>
            <sz val="9"/>
            <color indexed="81"/>
            <rFont val="Tahoma"/>
            <family val="2"/>
          </rPr>
          <t xml:space="preserve">
16 000 € expected in travel
</t>
        </r>
      </text>
    </comment>
    <comment ref="A7" authorId="0" shapeId="0" xr:uid="{96D322AE-E8ED-4ADC-8326-F35E13906D7D}">
      <text>
        <r>
          <rPr>
            <b/>
            <sz val="9"/>
            <color indexed="81"/>
            <rFont val="Tahoma"/>
            <family val="2"/>
          </rPr>
          <t>adele de-valera:</t>
        </r>
        <r>
          <rPr>
            <sz val="9"/>
            <color indexed="81"/>
            <rFont val="Tahoma"/>
            <family val="2"/>
          </rPr>
          <t xml:space="preserve">
subtotal of direct costs</t>
        </r>
      </text>
    </comment>
    <comment ref="A8" authorId="0" shapeId="0" xr:uid="{F6044300-082B-49FB-B44C-44633A952DDF}">
      <text>
        <r>
          <rPr>
            <b/>
            <sz val="9"/>
            <color indexed="81"/>
            <rFont val="Tahoma"/>
            <family val="2"/>
          </rPr>
          <t>adele de-valera:</t>
        </r>
        <r>
          <rPr>
            <sz val="9"/>
            <color indexed="81"/>
            <rFont val="Tahoma"/>
            <family val="2"/>
          </rPr>
          <t xml:space="preserve">
subcontracting costs left out of the equation
25% only apply to direct personnel costs and direct purchase costs</t>
        </r>
      </text>
    </comment>
    <comment ref="B8" authorId="0" shapeId="0" xr:uid="{362C9B15-1B27-4E73-8E45-9E4A0487F4EC}">
      <text>
        <r>
          <rPr>
            <b/>
            <sz val="9"/>
            <color indexed="81"/>
            <rFont val="Tahoma"/>
            <family val="2"/>
          </rPr>
          <t>adele de-valera:</t>
        </r>
        <r>
          <rPr>
            <sz val="9"/>
            <color indexed="81"/>
            <rFont val="Tahoma"/>
            <family val="2"/>
          </rPr>
          <t xml:space="preserve">
70 029, 75 €</t>
        </r>
      </text>
    </comment>
    <comment ref="E8" authorId="0" shapeId="0" xr:uid="{DB3ED2DF-4F3F-4CAB-A0D8-665EA394050A}">
      <text>
        <r>
          <rPr>
            <b/>
            <sz val="9"/>
            <color indexed="81"/>
            <rFont val="Tahoma"/>
            <family val="2"/>
          </rPr>
          <t>adele de-valera:</t>
        </r>
        <r>
          <rPr>
            <sz val="9"/>
            <color indexed="81"/>
            <rFont val="Tahoma"/>
            <family val="2"/>
          </rPr>
          <t xml:space="preserve">
42 262, 50 €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adele de-valera</author>
  </authors>
  <commentList>
    <comment ref="B4" authorId="0" shapeId="0" xr:uid="{A861DB87-4BBA-46EB-94C7-8B435E011F84}">
      <text>
        <r>
          <rPr>
            <b/>
            <sz val="9"/>
            <color indexed="81"/>
            <rFont val="Tahoma"/>
            <family val="2"/>
          </rPr>
          <t>adele de-valera:</t>
        </r>
        <r>
          <rPr>
            <sz val="9"/>
            <color indexed="81"/>
            <rFont val="Tahoma"/>
            <family val="2"/>
          </rPr>
          <t xml:space="preserve">
"Of the two positions, one is filled at HZB since beginning of iSAS, CERN is still working on filling their position"
cf WP1 Padova update
6 525 expected in senior &amp; 
209 844 for junior scientists</t>
        </r>
      </text>
    </comment>
    <comment ref="C4" authorId="0" shapeId="0" xr:uid="{A0BC2FEF-3422-478B-BE42-E94FD2342CFC}">
      <text>
        <r>
          <rPr>
            <b/>
            <sz val="9"/>
            <color indexed="81"/>
            <rFont val="Tahoma"/>
            <family val="2"/>
          </rPr>
          <t>adele de-valera:</t>
        </r>
        <r>
          <rPr>
            <sz val="9"/>
            <color indexed="81"/>
            <rFont val="Tahoma"/>
            <family val="2"/>
          </rPr>
          <t xml:space="preserve">
"Of the two positions, one is filled at HZB since beginning of iSAS, CERN is still working on filling their position"
cf WP1 Padova update
Andrei Maalberg joins iSAS as a PostDoc from Helmholtz-Zentrum Berlin from Sept 2024
Specifically, Dr. Maalberg will strengthen HZB’s contribution to WP2 “Low Level RF controls” and the interface to WP1 “Ferro-Electric Fast Reactive Tuners”.
255 300 expected in junior scientists</t>
        </r>
      </text>
    </comment>
    <comment ref="D4" authorId="0" shapeId="0" xr:uid="{E80E2492-FC31-4CCA-AA5B-EEC41D7D9AD3}">
      <text>
        <r>
          <rPr>
            <b/>
            <sz val="9"/>
            <color indexed="81"/>
            <rFont val="Tahoma"/>
            <family val="2"/>
          </rPr>
          <t>adele de-valera:</t>
        </r>
        <r>
          <rPr>
            <sz val="9"/>
            <color indexed="81"/>
            <rFont val="Tahoma"/>
            <family val="2"/>
          </rPr>
          <t xml:space="preserve">
"iSAS position to be released this month + advertised on iSAS
Money already spent was to pay personnel to bridge the gap" 
cf WP2 Padova update
230 000 expected in junior scientists</t>
        </r>
      </text>
    </comment>
    <comment ref="E4" authorId="0" shapeId="0" xr:uid="{AB72CE19-EA99-421B-9A78-28A83296F0A6}">
      <text>
        <r>
          <rPr>
            <b/>
            <sz val="9"/>
            <color indexed="81"/>
            <rFont val="Tahoma"/>
            <family val="2"/>
          </rPr>
          <t>adele de-valera:</t>
        </r>
        <r>
          <rPr>
            <sz val="9"/>
            <color indexed="81"/>
            <rFont val="Tahoma"/>
            <family val="2"/>
          </rPr>
          <t xml:space="preserve">
Andrei Maalberg joins iSAS as a PostDoc from Helmholtz-Zentrum Berlin from Sept 2024
Specifically, Dr. Maalberg will strengthen HZB’s contribution to WP2 “Low Level RF controls” and the interface to WP1 “Ferro-Electric Fast Reactive Tuners”.
169 050 expected in junior scientists</t>
        </r>
      </text>
    </comment>
    <comment ref="F4" authorId="0" shapeId="0" xr:uid="{BB2A2DF4-FC7E-4914-BD2C-3E4D9B88547B}">
      <text>
        <r>
          <rPr>
            <b/>
            <sz val="9"/>
            <color indexed="81"/>
            <rFont val="Tahoma"/>
            <family val="2"/>
          </rPr>
          <t>adele de-valera:</t>
        </r>
        <r>
          <rPr>
            <sz val="9"/>
            <color indexed="81"/>
            <rFont val="Tahoma"/>
            <family val="2"/>
          </rPr>
          <t xml:space="preserve">
N/A</t>
        </r>
      </text>
    </comment>
    <comment ref="G4" authorId="0" shapeId="0" xr:uid="{859CEA47-80B9-4F6D-9FB3-4CCB4CB77080}">
      <text>
        <r>
          <rPr>
            <b/>
            <sz val="9"/>
            <color indexed="81"/>
            <rFont val="Tahoma"/>
            <family val="2"/>
          </rPr>
          <t>adele de-valera:</t>
        </r>
        <r>
          <rPr>
            <sz val="9"/>
            <color indexed="81"/>
            <rFont val="Tahoma"/>
            <family val="2"/>
          </rPr>
          <t xml:space="preserve">
200 100 expected in senior scientists</t>
        </r>
      </text>
    </comment>
    <comment ref="H4" authorId="0" shapeId="0" xr:uid="{F155B69D-05A7-4602-89DD-760A87184B55}">
      <text>
        <r>
          <rPr>
            <b/>
            <sz val="9"/>
            <color indexed="81"/>
            <rFont val="Tahoma"/>
            <family val="2"/>
          </rPr>
          <t>adele de-valera:</t>
        </r>
        <r>
          <rPr>
            <sz val="9"/>
            <color indexed="81"/>
            <rFont val="Tahoma"/>
            <family val="2"/>
          </rPr>
          <t xml:space="preserve">
13 000 expected in senior and junior scientists</t>
        </r>
      </text>
    </comment>
    <comment ref="I4" authorId="0" shapeId="0" xr:uid="{F761CCFD-B9CD-45E6-A179-BDD8A7C099E6}">
      <text>
        <r>
          <rPr>
            <b/>
            <sz val="9"/>
            <color indexed="81"/>
            <rFont val="Tahoma"/>
            <family val="2"/>
          </rPr>
          <t>adele de-valera:</t>
        </r>
        <r>
          <rPr>
            <sz val="9"/>
            <color indexed="81"/>
            <rFont val="Tahoma"/>
            <family val="2"/>
          </rPr>
          <t xml:space="preserve">
"6 pm temporary staff WP4&amp;WP5 (53 k€)"
cf WP4 Padova update
53 000 expected in junior scientists</t>
        </r>
      </text>
    </comment>
    <comment ref="J4" authorId="0" shapeId="0" xr:uid="{4F58AFE1-1179-4711-895B-C2EBA13BFE19}">
      <text>
        <r>
          <rPr>
            <b/>
            <sz val="9"/>
            <color indexed="81"/>
            <rFont val="Tahoma"/>
            <family val="2"/>
          </rPr>
          <t>adele de-valera:</t>
        </r>
        <r>
          <rPr>
            <sz val="9"/>
            <color indexed="81"/>
            <rFont val="Tahoma"/>
            <family val="2"/>
          </rPr>
          <t xml:space="preserve">
"Postdoctoral to hire at INFN will change the topic (a possible new topic 
‘absorbers’ and not HOM)"
cf WP4 Padova update
120 000 expected in junior scientists</t>
        </r>
      </text>
    </comment>
    <comment ref="K4" authorId="0" shapeId="0" xr:uid="{2B64DA5B-3680-4449-9A7C-07F4EE4745FC}">
      <text>
        <r>
          <rPr>
            <b/>
            <sz val="9"/>
            <color indexed="81"/>
            <rFont val="Tahoma"/>
            <family val="2"/>
          </rPr>
          <t>adele de-valera:</t>
        </r>
        <r>
          <rPr>
            <sz val="9"/>
            <color indexed="81"/>
            <rFont val="Tahoma"/>
            <family val="2"/>
          </rPr>
          <t xml:space="preserve">
N/A</t>
        </r>
      </text>
    </comment>
    <comment ref="L4" authorId="0" shapeId="0" xr:uid="{D218C202-85FC-4906-95EF-88285211E33C}">
      <text>
        <r>
          <rPr>
            <b/>
            <sz val="9"/>
            <color indexed="81"/>
            <rFont val="Tahoma"/>
            <family val="2"/>
          </rPr>
          <t>adele de-valera:</t>
        </r>
        <r>
          <rPr>
            <sz val="9"/>
            <color indexed="81"/>
            <rFont val="Tahoma"/>
            <family val="2"/>
          </rPr>
          <t xml:space="preserve">
"Junior Scientist [ESS]  WP5 (12m) + WP6 (12m) ; Recruitment starting soon + extension to be analysed
...
The PhD student for Task 5.4 is not on the EU budget but is a budget directly from EPFL"
cf WP5 Padova update
PHD student was selected and started 1st OCT2024 (Lode Vanhecke) at EPFL for WP5
75 000 expected in junior scientists</t>
        </r>
      </text>
    </comment>
    <comment ref="M4" authorId="0" shapeId="0" xr:uid="{2EF945C5-3A9E-4176-BB45-FB4189343B63}">
      <text>
        <r>
          <rPr>
            <b/>
            <sz val="9"/>
            <color indexed="81"/>
            <rFont val="Tahoma"/>
            <family val="2"/>
          </rPr>
          <t>adele de-valera:</t>
        </r>
        <r>
          <rPr>
            <sz val="9"/>
            <color indexed="81"/>
            <rFont val="Tahoma"/>
            <family val="2"/>
          </rPr>
          <t xml:space="preserve">
N/A
PhD @IJCLAB on absorbers paid by INFN (matching funds?) Discussions on going with a candidate
cf M11 update</t>
        </r>
      </text>
    </comment>
    <comment ref="N4" authorId="0" shapeId="0" xr:uid="{4B44DD40-C791-4CD1-9000-5665046FBCD3}">
      <text>
        <r>
          <rPr>
            <b/>
            <sz val="9"/>
            <color indexed="81"/>
            <rFont val="Tahoma"/>
            <family val="2"/>
          </rPr>
          <t>adele de-valera:</t>
        </r>
        <r>
          <rPr>
            <sz val="9"/>
            <color indexed="81"/>
            <rFont val="Tahoma"/>
            <family val="2"/>
          </rPr>
          <t xml:space="preserve">
75 000 expected in junior scientists</t>
        </r>
      </text>
    </comment>
    <comment ref="O4" authorId="0" shapeId="0" xr:uid="{99338D2D-7980-4363-9F08-2CA4B6EE7C82}">
      <text>
        <r>
          <rPr>
            <b/>
            <sz val="9"/>
            <color indexed="81"/>
            <rFont val="Tahoma"/>
            <family val="2"/>
          </rPr>
          <t>adele de-valera:</t>
        </r>
        <r>
          <rPr>
            <sz val="9"/>
            <color indexed="81"/>
            <rFont val="Tahoma"/>
            <family val="2"/>
          </rPr>
          <t xml:space="preserve">
N/A</t>
        </r>
      </text>
    </comment>
    <comment ref="P4" authorId="0" shapeId="0" xr:uid="{57187F0B-049B-45CD-802A-B62740F2CFC0}">
      <text>
        <r>
          <rPr>
            <b/>
            <sz val="9"/>
            <color indexed="81"/>
            <rFont val="Tahoma"/>
            <family val="2"/>
          </rPr>
          <t>adele de-valera:</t>
        </r>
        <r>
          <rPr>
            <sz val="9"/>
            <color indexed="81"/>
            <rFont val="Tahoma"/>
            <family val="2"/>
          </rPr>
          <t xml:space="preserve">
N/A
</t>
        </r>
      </text>
    </comment>
    <comment ref="Q4" authorId="0" shapeId="0" xr:uid="{E9044149-C58D-44FC-BDB6-D42C9C11EC44}">
      <text>
        <r>
          <rPr>
            <b/>
            <sz val="9"/>
            <color indexed="81"/>
            <rFont val="Tahoma"/>
            <family val="2"/>
          </rPr>
          <t>adele de-valera:</t>
        </r>
        <r>
          <rPr>
            <sz val="9"/>
            <color indexed="81"/>
            <rFont val="Tahoma"/>
            <family val="2"/>
          </rPr>
          <t xml:space="preserve">
N/A</t>
        </r>
      </text>
    </comment>
    <comment ref="R4" authorId="0" shapeId="0" xr:uid="{E8CDA0A5-9B7D-47DB-BA72-988099CBD5EE}">
      <text>
        <r>
          <rPr>
            <b/>
            <sz val="9"/>
            <color indexed="81"/>
            <rFont val="Tahoma"/>
            <family val="2"/>
          </rPr>
          <t>adele de-valera:</t>
        </r>
        <r>
          <rPr>
            <sz val="9"/>
            <color indexed="81"/>
            <rFont val="Tahoma"/>
            <family val="2"/>
          </rPr>
          <t xml:space="preserve">
N/A</t>
        </r>
      </text>
    </comment>
    <comment ref="S4" authorId="0" shapeId="0" xr:uid="{8F619532-72F9-407B-8F4F-E1DBC081EDFD}">
      <text>
        <r>
          <rPr>
            <b/>
            <sz val="9"/>
            <color indexed="81"/>
            <rFont val="Tahoma"/>
            <family val="2"/>
          </rPr>
          <t>adele de-valera:</t>
        </r>
        <r>
          <rPr>
            <sz val="9"/>
            <color indexed="81"/>
            <rFont val="Tahoma"/>
            <family val="2"/>
          </rPr>
          <t xml:space="preserve">
for iSAS EPM
</t>
        </r>
      </text>
    </comment>
    <comment ref="T4" authorId="0" shapeId="0" xr:uid="{96F03151-7BC1-4214-8236-23B40B95B12E}">
      <text>
        <r>
          <rPr>
            <b/>
            <sz val="9"/>
            <color indexed="81"/>
            <rFont val="Tahoma"/>
            <family val="2"/>
          </rPr>
          <t>adele de-valera:</t>
        </r>
        <r>
          <rPr>
            <sz val="9"/>
            <color indexed="81"/>
            <rFont val="Tahoma"/>
            <family val="2"/>
          </rPr>
          <t xml:space="preserve">
N/A</t>
        </r>
      </text>
    </comment>
    <comment ref="A5" authorId="0" shapeId="0" xr:uid="{550CCF87-DCE8-4510-9EC2-3CE69461FFD5}">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B5" authorId="0" shapeId="0" xr:uid="{2BBFD7F0-FC7B-48EF-9968-AB2BC0E74E5E}">
      <text>
        <r>
          <rPr>
            <b/>
            <sz val="9"/>
            <color indexed="81"/>
            <rFont val="Tahoma"/>
            <family val="2"/>
          </rPr>
          <t>adele de-valera:</t>
        </r>
        <r>
          <rPr>
            <sz val="9"/>
            <color indexed="81"/>
            <rFont val="Tahoma"/>
            <family val="2"/>
          </rPr>
          <t xml:space="preserve">
"So far only smaller spendings happened for invest/consumables
…
We still need to make a full funding analysis, which requires input from the lab’s administrations, which takes time"
cf WP1Padova update
50 000 expected in subcontracting 
5 000 expected in travel
13 750 expected in equipment
45 000 expected in consumables</t>
        </r>
      </text>
    </comment>
    <comment ref="C5" authorId="0" shapeId="0" xr:uid="{301BADAE-8F85-4F1E-A735-BB7E1267FA36}">
      <text>
        <r>
          <rPr>
            <b/>
            <sz val="9"/>
            <color indexed="81"/>
            <rFont val="Tahoma"/>
            <family val="2"/>
          </rPr>
          <t>adele de-valera:</t>
        </r>
        <r>
          <rPr>
            <sz val="9"/>
            <color indexed="81"/>
            <rFont val="Tahoma"/>
            <family val="2"/>
          </rPr>
          <t xml:space="preserve">
"So far only smaller spendings happened for invest/consumables
…
We still need to make a full funding analysis, which requires input from the lab’s administrations, which takes time"
cf WP1Padova update
16 000 expected in travel
200 000 expected in consumables</t>
        </r>
      </text>
    </comment>
    <comment ref="D5" authorId="0" shapeId="0" xr:uid="{92E7E557-03F2-48C3-BC4B-D99960693404}">
      <text>
        <r>
          <rPr>
            <b/>
            <sz val="9"/>
            <color indexed="81"/>
            <rFont val="Tahoma"/>
            <family val="2"/>
          </rPr>
          <t>adele de-valera:</t>
        </r>
        <r>
          <rPr>
            <sz val="9"/>
            <color indexed="81"/>
            <rFont val="Tahoma"/>
            <family val="2"/>
          </rPr>
          <t xml:space="preserve">
N/A</t>
        </r>
      </text>
    </comment>
    <comment ref="E5" authorId="0" shapeId="0" xr:uid="{D9596A1F-4634-439B-8C06-88A050383946}">
      <text>
        <r>
          <rPr>
            <b/>
            <sz val="9"/>
            <color indexed="81"/>
            <rFont val="Tahoma"/>
            <family val="2"/>
          </rPr>
          <t>adele de-valera:</t>
        </r>
        <r>
          <rPr>
            <sz val="9"/>
            <color indexed="81"/>
            <rFont val="Tahoma"/>
            <family val="2"/>
          </rPr>
          <t xml:space="preserve">
N/A</t>
        </r>
      </text>
    </comment>
    <comment ref="F5" authorId="0" shapeId="0" xr:uid="{7275180D-76B2-44F2-A13D-6DE82A5ADEC1}">
      <text>
        <r>
          <rPr>
            <b/>
            <sz val="9"/>
            <color indexed="81"/>
            <rFont val="Tahoma"/>
            <family val="2"/>
          </rPr>
          <t>adele de-valera:</t>
        </r>
        <r>
          <rPr>
            <sz val="9"/>
            <color indexed="81"/>
            <rFont val="Tahoma"/>
            <family val="2"/>
          </rPr>
          <t xml:space="preserve">
2 000 expected in travel
15 000 expected in equipment
72 000 expected in consumables</t>
        </r>
      </text>
    </comment>
    <comment ref="G5" authorId="0" shapeId="0" xr:uid="{A2C4DAB4-4327-435F-AFE0-4F356C9BEF75}">
      <text>
        <r>
          <rPr>
            <b/>
            <sz val="9"/>
            <color indexed="81"/>
            <rFont val="Tahoma"/>
            <family val="2"/>
          </rPr>
          <t>adele de-valera:</t>
        </r>
        <r>
          <rPr>
            <sz val="9"/>
            <color indexed="81"/>
            <rFont val="Tahoma"/>
            <family val="2"/>
          </rPr>
          <t xml:space="preserve">
N/A</t>
        </r>
      </text>
    </comment>
    <comment ref="H5" authorId="0" shapeId="0" xr:uid="{4B3D60F6-87B6-48A6-8DC6-4633C547EBB7}">
      <text>
        <r>
          <rPr>
            <b/>
            <sz val="9"/>
            <color indexed="81"/>
            <rFont val="Tahoma"/>
            <family val="2"/>
          </rPr>
          <t>adele de-valera:</t>
        </r>
        <r>
          <rPr>
            <sz val="9"/>
            <color indexed="81"/>
            <rFont val="Tahoma"/>
            <family val="2"/>
          </rPr>
          <t xml:space="preserve">
10 000 expected in travel
60 000 expected in consumables</t>
        </r>
      </text>
    </comment>
    <comment ref="I5" authorId="0" shapeId="0" xr:uid="{8FA10615-44AA-4EC4-9E6E-E28AE42E5411}">
      <text>
        <r>
          <rPr>
            <b/>
            <sz val="9"/>
            <color indexed="81"/>
            <rFont val="Tahoma"/>
            <family val="2"/>
          </rPr>
          <t>adele de-valera:</t>
        </r>
        <r>
          <rPr>
            <sz val="9"/>
            <color indexed="81"/>
            <rFont val="Tahoma"/>
            <family val="2"/>
          </rPr>
          <t xml:space="preserve">
"Pending the decision ( PERLE projet – CERN ) to manufacture 4 more Hook 800 
MHz HOM couplers for WP6
...
Evaluation of the cost of manufacturing modified parts of FPC"
cf WP4 Padova update
3 000 expected in travel
228 750 expected in equipment
50 000 expected in consumables</t>
        </r>
      </text>
    </comment>
    <comment ref="J5" authorId="0" shapeId="0" xr:uid="{A5BDAEFC-9BE9-4078-8922-82A0418EF1B0}">
      <text>
        <r>
          <rPr>
            <b/>
            <sz val="9"/>
            <color indexed="81"/>
            <rFont val="Tahoma"/>
            <family val="2"/>
          </rPr>
          <t>adele de-valera:</t>
        </r>
        <r>
          <rPr>
            <sz val="9"/>
            <color indexed="81"/>
            <rFont val="Tahoma"/>
            <family val="2"/>
          </rPr>
          <t xml:space="preserve">
3 000 expected in travel</t>
        </r>
      </text>
    </comment>
    <comment ref="K5" authorId="0" shapeId="0" xr:uid="{15FD6820-BD68-48C3-83CC-266E6D5E1503}">
      <text>
        <r>
          <rPr>
            <b/>
            <sz val="9"/>
            <color indexed="81"/>
            <rFont val="Tahoma"/>
            <family val="2"/>
          </rPr>
          <t>adele de-valera:</t>
        </r>
        <r>
          <rPr>
            <sz val="9"/>
            <color indexed="81"/>
            <rFont val="Tahoma"/>
            <family val="2"/>
          </rPr>
          <t xml:space="preserve">
2 000 expected in travel</t>
        </r>
      </text>
    </comment>
    <comment ref="L5" authorId="0" shapeId="0" xr:uid="{7A5A8547-6F88-4BFE-B855-2A69F7FFE24A}">
      <text>
        <r>
          <rPr>
            <b/>
            <sz val="9"/>
            <color indexed="81"/>
            <rFont val="Tahoma"/>
            <family val="2"/>
          </rPr>
          <t>adele de-valera:</t>
        </r>
        <r>
          <rPr>
            <sz val="9"/>
            <color indexed="81"/>
            <rFont val="Tahoma"/>
            <family val="2"/>
          </rPr>
          <t xml:space="preserve">
5 000 expected in others</t>
        </r>
      </text>
    </comment>
    <comment ref="M5" authorId="0" shapeId="0" xr:uid="{F15A0654-199A-4E62-98F8-E8F1F6931A30}">
      <text>
        <r>
          <rPr>
            <b/>
            <sz val="9"/>
            <color indexed="81"/>
            <rFont val="Tahoma"/>
            <family val="2"/>
          </rPr>
          <t>adele de-valera:</t>
        </r>
        <r>
          <rPr>
            <sz val="9"/>
            <color indexed="81"/>
            <rFont val="Tahoma"/>
            <family val="2"/>
          </rPr>
          <t xml:space="preserve">
"iSAS Funds engaged by CNRS: purchasing of the Niobium material for 5cell cavities (“few” hundreds of k€)
iSAS + matching funds to be engaged in 2025 by CNRS: purchasing of the 5cell cavities + (if possible) magnetic shields."
cf WP6 Padova update
Référencé comme "équipement ou charge d'amortissement" dans GESLAB
Niobium delivery expected March 2025
Cavities delivery expected end of 2026
cf service des marchés
2 000 expected in travel 
736 000 expected in equipment (debate ongoing whether niobium is to be considered consumable or equipment)</t>
        </r>
      </text>
    </comment>
    <comment ref="N5" authorId="0" shapeId="0" xr:uid="{3BEF8E08-D645-4D4C-93C4-90C60FBB2A6C}">
      <text>
        <r>
          <rPr>
            <b/>
            <sz val="9"/>
            <color indexed="81"/>
            <rFont val="Tahoma"/>
            <family val="2"/>
          </rPr>
          <t>adele de-valera:</t>
        </r>
        <r>
          <rPr>
            <sz val="9"/>
            <color indexed="81"/>
            <rFont val="Tahoma"/>
            <family val="2"/>
          </rPr>
          <t xml:space="preserve">
22 000 expected in travel
100 000 expected in consumables</t>
        </r>
      </text>
    </comment>
    <comment ref="O5" authorId="0" shapeId="0" xr:uid="{78125320-0C5F-403B-B368-0EB5ABF2698D}">
      <text>
        <r>
          <rPr>
            <b/>
            <sz val="9"/>
            <color indexed="81"/>
            <rFont val="Tahoma"/>
            <family val="2"/>
          </rPr>
          <t>adele de-valera:</t>
        </r>
        <r>
          <rPr>
            <sz val="9"/>
            <color indexed="81"/>
            <rFont val="Tahoma"/>
            <family val="2"/>
          </rPr>
          <t xml:space="preserve">
2 000 expected in travel
250 000 expected in consumables</t>
        </r>
      </text>
    </comment>
    <comment ref="P5" authorId="0" shapeId="0" xr:uid="{4E6F4B4C-8935-4B27-A8D4-D0F831EC4892}">
      <text>
        <r>
          <rPr>
            <b/>
            <sz val="9"/>
            <color indexed="81"/>
            <rFont val="Tahoma"/>
            <family val="2"/>
          </rPr>
          <t>adele de-valera:</t>
        </r>
        <r>
          <rPr>
            <sz val="9"/>
            <color indexed="81"/>
            <rFont val="Tahoma"/>
            <family val="2"/>
          </rPr>
          <t xml:space="preserve">
2 000 expected in travel
104 000 expected in consumables</t>
        </r>
      </text>
    </comment>
    <comment ref="Q5" authorId="0" shapeId="0" xr:uid="{BF7248B8-1FB6-4D30-A3C4-90B176DBCBE7}">
      <text>
        <r>
          <rPr>
            <b/>
            <sz val="9"/>
            <color indexed="81"/>
            <rFont val="Tahoma"/>
            <family val="2"/>
          </rPr>
          <t>adele de-valera:</t>
        </r>
        <r>
          <rPr>
            <sz val="9"/>
            <color indexed="81"/>
            <rFont val="Tahoma"/>
            <family val="2"/>
          </rPr>
          <t xml:space="preserve">
"from 32 000: approximately less than10k€ allocated for organizing LNL Workshop (not definitive)
from 2 000: video editing for dissemination activities
from 6 000: fully allocated"
cf WP6 Padova update
2000 expected in subcontracting
32000 expected in travel
6000 allocated in services for dissemination activities (website)
 </t>
        </r>
      </text>
    </comment>
    <comment ref="R5" authorId="0" shapeId="0" xr:uid="{EB1C3BAA-B9BB-436E-86EA-4F1A7485401C}">
      <text>
        <r>
          <rPr>
            <b/>
            <sz val="9"/>
            <color indexed="81"/>
            <rFont val="Tahoma"/>
            <family val="2"/>
          </rPr>
          <t>adele de-valera:</t>
        </r>
        <r>
          <rPr>
            <sz val="9"/>
            <color indexed="81"/>
            <rFont val="Tahoma"/>
            <family val="2"/>
          </rPr>
          <t xml:space="preserve">
30 000 expected in travel
5 000 expeted in publication fees</t>
        </r>
      </text>
    </comment>
    <comment ref="S5" authorId="0" shapeId="0" xr:uid="{CE04D7BD-9491-4D76-B6A8-970CCD1FEA73}">
      <text>
        <r>
          <rPr>
            <b/>
            <sz val="9"/>
            <color indexed="81"/>
            <rFont val="Tahoma"/>
            <family val="2"/>
          </rPr>
          <t>adele de-valera:</t>
        </r>
        <r>
          <rPr>
            <sz val="9"/>
            <color indexed="81"/>
            <rFont val="Tahoma"/>
            <family val="2"/>
          </rPr>
          <t xml:space="preserve">
"Travel funds are starting to be used for Padova meeting, not totalized yet
Other costs not engaged yet (publication fees, shipment, etc.)"
Ventilation prévisionnelle dans GESLAB :
Missions 43 000
Autres coûts 11 000
Detailed budget:
11 000 expected in travel
5 000 expected in publication fees
1 000 expected in others like shipment</t>
        </r>
      </text>
    </comment>
    <comment ref="T5" authorId="0" shapeId="0" xr:uid="{A1DA6B76-19A6-4521-83F3-9FA151204B33}">
      <text>
        <r>
          <rPr>
            <b/>
            <sz val="9"/>
            <color indexed="81"/>
            <rFont val="Tahoma"/>
            <family val="2"/>
          </rPr>
          <t>adele de-valera:</t>
        </r>
        <r>
          <rPr>
            <sz val="9"/>
            <color indexed="81"/>
            <rFont val="Tahoma"/>
            <family val="2"/>
          </rPr>
          <t xml:space="preserve">
"Travel funds used for Kick-off &amp; Padova meetings, less than 5k€
16 000 € for travel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adele de-valera</author>
  </authors>
  <commentList>
    <comment ref="F4" authorId="0" shapeId="0" xr:uid="{08BEC991-A0AF-4E07-87AE-ECDC4A6BBB73}">
      <text>
        <r>
          <rPr>
            <b/>
            <sz val="9"/>
            <color indexed="81"/>
            <rFont val="Tahoma"/>
            <family val="2"/>
          </rPr>
          <t>adele de-valera:</t>
        </r>
        <r>
          <rPr>
            <sz val="9"/>
            <color indexed="81"/>
            <rFont val="Tahoma"/>
            <family val="2"/>
          </rPr>
          <t xml:space="preserve">
N/A</t>
        </r>
      </text>
    </comment>
    <comment ref="K4" authorId="0" shapeId="0" xr:uid="{B605CBBE-B81D-4D5C-A2C5-BCEEE0EAB59A}">
      <text>
        <r>
          <rPr>
            <b/>
            <sz val="9"/>
            <color indexed="81"/>
            <rFont val="Tahoma"/>
            <family val="2"/>
          </rPr>
          <t>adele de-valera:</t>
        </r>
        <r>
          <rPr>
            <sz val="9"/>
            <color indexed="81"/>
            <rFont val="Tahoma"/>
            <family val="2"/>
          </rPr>
          <t xml:space="preserve">
N/A
</t>
        </r>
      </text>
    </comment>
    <comment ref="M4" authorId="0" shapeId="0" xr:uid="{F96F2902-DC4F-4C1D-861F-941C8C9D1B5F}">
      <text>
        <r>
          <rPr>
            <b/>
            <sz val="9"/>
            <color indexed="81"/>
            <rFont val="Tahoma"/>
            <family val="2"/>
          </rPr>
          <t>adele de-valera:</t>
        </r>
        <r>
          <rPr>
            <sz val="9"/>
            <color indexed="81"/>
            <rFont val="Tahoma"/>
            <family val="2"/>
          </rPr>
          <t xml:space="preserve">
N/A
PhD @IJCLAB on absorbers paid by INFN (matching funds?) Discussions on going with a candidate
cf M11 update</t>
        </r>
      </text>
    </comment>
    <comment ref="O4" authorId="0" shapeId="0" xr:uid="{02902B47-EB27-444A-9C33-ABC07E58BDD8}">
      <text>
        <r>
          <rPr>
            <b/>
            <sz val="9"/>
            <color indexed="81"/>
            <rFont val="Tahoma"/>
            <family val="2"/>
          </rPr>
          <t>adele de-valera:</t>
        </r>
        <r>
          <rPr>
            <sz val="9"/>
            <color indexed="81"/>
            <rFont val="Tahoma"/>
            <family val="2"/>
          </rPr>
          <t xml:space="preserve">
N/A</t>
        </r>
      </text>
    </comment>
    <comment ref="P4" authorId="0" shapeId="0" xr:uid="{BE0C7649-32EC-42D8-95E6-1B22EFF9440E}">
      <text>
        <r>
          <rPr>
            <b/>
            <sz val="9"/>
            <color indexed="81"/>
            <rFont val="Tahoma"/>
            <family val="2"/>
          </rPr>
          <t>adele de-valera:</t>
        </r>
        <r>
          <rPr>
            <sz val="9"/>
            <color indexed="81"/>
            <rFont val="Tahoma"/>
            <family val="2"/>
          </rPr>
          <t xml:space="preserve">
N/A</t>
        </r>
      </text>
    </comment>
    <comment ref="Q4" authorId="0" shapeId="0" xr:uid="{876CE5C9-102F-495D-A0C5-D76C9F36B518}">
      <text>
        <r>
          <rPr>
            <b/>
            <sz val="9"/>
            <color indexed="81"/>
            <rFont val="Tahoma"/>
            <family val="2"/>
          </rPr>
          <t>adele de-valera:</t>
        </r>
        <r>
          <rPr>
            <sz val="9"/>
            <color indexed="81"/>
            <rFont val="Tahoma"/>
            <family val="2"/>
          </rPr>
          <t xml:space="preserve">
N/A</t>
        </r>
      </text>
    </comment>
    <comment ref="R4" authorId="0" shapeId="0" xr:uid="{8B12F354-8ED0-45DC-B1BE-098DFE361647}">
      <text>
        <r>
          <rPr>
            <b/>
            <sz val="9"/>
            <color indexed="81"/>
            <rFont val="Tahoma"/>
            <family val="2"/>
          </rPr>
          <t>adele de-valera:</t>
        </r>
        <r>
          <rPr>
            <sz val="9"/>
            <color indexed="81"/>
            <rFont val="Tahoma"/>
            <family val="2"/>
          </rPr>
          <t xml:space="preserve">
N/A</t>
        </r>
      </text>
    </comment>
    <comment ref="T4" authorId="0" shapeId="0" xr:uid="{F18B62EA-D731-4D20-8E92-1E072CB18F04}">
      <text>
        <r>
          <rPr>
            <b/>
            <sz val="9"/>
            <color indexed="81"/>
            <rFont val="Tahoma"/>
            <family val="2"/>
          </rPr>
          <t>adele de-valera:</t>
        </r>
        <r>
          <rPr>
            <sz val="9"/>
            <color indexed="81"/>
            <rFont val="Tahoma"/>
            <family val="2"/>
          </rPr>
          <t xml:space="preserve">
N/A</t>
        </r>
      </text>
    </comment>
    <comment ref="A5" authorId="0" shapeId="0" xr:uid="{D5FF3C42-97BA-4D81-B652-CF496F1F2705}">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D5" authorId="0" shapeId="0" xr:uid="{FE63EACC-77C9-43E1-B12F-2B8DF79FC410}">
      <text>
        <r>
          <rPr>
            <b/>
            <sz val="9"/>
            <color indexed="81"/>
            <rFont val="Tahoma"/>
            <family val="2"/>
          </rPr>
          <t>adele de-valera:</t>
        </r>
        <r>
          <rPr>
            <sz val="9"/>
            <color indexed="81"/>
            <rFont val="Tahoma"/>
            <family val="2"/>
          </rPr>
          <t xml:space="preserve">
N/A</t>
        </r>
      </text>
    </comment>
    <comment ref="E5" authorId="0" shapeId="0" xr:uid="{33882B96-9D0B-4407-A472-37BEA05B2D94}">
      <text>
        <r>
          <rPr>
            <b/>
            <sz val="9"/>
            <color indexed="81"/>
            <rFont val="Tahoma"/>
            <family val="2"/>
          </rPr>
          <t>adele de-valera:</t>
        </r>
        <r>
          <rPr>
            <sz val="9"/>
            <color indexed="81"/>
            <rFont val="Tahoma"/>
            <family val="2"/>
          </rPr>
          <t xml:space="preserve">
N/A</t>
        </r>
      </text>
    </comment>
    <comment ref="G5" authorId="0" shapeId="0" xr:uid="{CB7C02F5-F3E7-4ED7-83DC-D9B13B480763}">
      <text>
        <r>
          <rPr>
            <b/>
            <sz val="9"/>
            <color indexed="81"/>
            <rFont val="Tahoma"/>
            <family val="2"/>
          </rPr>
          <t>adele de-valera:</t>
        </r>
        <r>
          <rPr>
            <sz val="9"/>
            <color indexed="81"/>
            <rFont val="Tahoma"/>
            <family val="2"/>
          </rPr>
          <t xml:space="preserve">
N/A</t>
        </r>
      </text>
    </comment>
    <comment ref="B9" authorId="0" shapeId="0" xr:uid="{DC03E07E-EA1F-4249-8C5C-69389151FBFA}">
      <text>
        <r>
          <rPr>
            <b/>
            <sz val="9"/>
            <color indexed="81"/>
            <rFont val="Tahoma"/>
            <family val="2"/>
          </rPr>
          <t>adele de-valera:</t>
        </r>
        <r>
          <rPr>
            <sz val="9"/>
            <color indexed="81"/>
            <rFont val="Tahoma"/>
            <family val="2"/>
          </rPr>
          <t xml:space="preserve">
"Increasing costs and eventually shift of lab’s research focus due to new future budget constraints might impact this project"  
cf M8 update</t>
        </r>
      </text>
    </comment>
    <comment ref="K9" authorId="0" shapeId="0" xr:uid="{C3DD953D-10DD-490C-BD8E-4887EFB92B0A}">
      <text>
        <r>
          <rPr>
            <b/>
            <sz val="9"/>
            <color indexed="81"/>
            <rFont val="Tahoma"/>
            <family val="2"/>
          </rPr>
          <t>adele de-valera:</t>
        </r>
        <r>
          <rPr>
            <sz val="9"/>
            <color indexed="81"/>
            <rFont val="Tahoma"/>
            <family val="2"/>
          </rPr>
          <t xml:space="preserve">
"However there is the concern of when to start ESS junior engineer contract 
1year covering WP5 + 1year covering WP6 (total 2 years)
There is the need for starting asap (early 2025) and that would be advisable, but that would mean falling short on support to the most critical project activities (year 4). Possibility for extension needs to be checked."
cf M8 update</t>
        </r>
      </text>
    </comment>
    <comment ref="S9" authorId="0" shapeId="0" xr:uid="{FBE35B9C-B8E8-4134-8242-62470179910B}">
      <text>
        <r>
          <rPr>
            <b/>
            <sz val="9"/>
            <color indexed="81"/>
            <rFont val="Tahoma"/>
            <family val="2"/>
          </rPr>
          <t>adele de-valera:</t>
        </r>
        <r>
          <rPr>
            <sz val="9"/>
            <color indexed="81"/>
            <rFont val="Tahoma"/>
            <family val="2"/>
          </rPr>
          <t xml:space="preserve">
To make sure the transition VUB -&gt; Nikhef allows for J to use travel fund originally allocated to VUB</t>
        </r>
      </text>
    </comment>
    <comment ref="F14" authorId="0" shapeId="0" xr:uid="{60788DC3-A49B-414E-9A55-EAE8144DBDCD}">
      <text>
        <r>
          <rPr>
            <b/>
            <sz val="9"/>
            <color indexed="81"/>
            <rFont val="Tahoma"/>
            <family val="2"/>
          </rPr>
          <t>adele de-valera:</t>
        </r>
        <r>
          <rPr>
            <sz val="9"/>
            <color indexed="81"/>
            <rFont val="Tahoma"/>
            <family val="2"/>
          </rPr>
          <t xml:space="preserve">
N/A</t>
        </r>
      </text>
    </comment>
    <comment ref="K14" authorId="0" shapeId="0" xr:uid="{451CB735-6AB6-4399-84A8-AA0DA0107A4C}">
      <text>
        <r>
          <rPr>
            <b/>
            <sz val="9"/>
            <color indexed="81"/>
            <rFont val="Tahoma"/>
            <family val="2"/>
          </rPr>
          <t>adele de-valera:</t>
        </r>
        <r>
          <rPr>
            <sz val="9"/>
            <color indexed="81"/>
            <rFont val="Tahoma"/>
            <family val="2"/>
          </rPr>
          <t xml:space="preserve">
N/A</t>
        </r>
      </text>
    </comment>
    <comment ref="M14" authorId="0" shapeId="0" xr:uid="{40AEB813-EDAC-48FB-A0E0-2D02A161A1CA}">
      <text>
        <r>
          <rPr>
            <b/>
            <sz val="9"/>
            <color indexed="81"/>
            <rFont val="Tahoma"/>
            <family val="2"/>
          </rPr>
          <t>adele de-valera:</t>
        </r>
        <r>
          <rPr>
            <sz val="9"/>
            <color indexed="81"/>
            <rFont val="Tahoma"/>
            <family val="2"/>
          </rPr>
          <t xml:space="preserve">
N/A</t>
        </r>
      </text>
    </comment>
    <comment ref="O14" authorId="0" shapeId="0" xr:uid="{3C7835B3-E6D8-490B-9842-12B712354403}">
      <text>
        <r>
          <rPr>
            <b/>
            <sz val="9"/>
            <color indexed="81"/>
            <rFont val="Tahoma"/>
            <family val="2"/>
          </rPr>
          <t>adele de-valera:</t>
        </r>
        <r>
          <rPr>
            <sz val="9"/>
            <color indexed="81"/>
            <rFont val="Tahoma"/>
            <family val="2"/>
          </rPr>
          <t xml:space="preserve">
N/A</t>
        </r>
      </text>
    </comment>
    <comment ref="P14" authorId="0" shapeId="0" xr:uid="{CD49E176-6822-4D5D-8C26-5B45FA4BAE3A}">
      <text>
        <r>
          <rPr>
            <b/>
            <sz val="9"/>
            <color indexed="81"/>
            <rFont val="Tahoma"/>
            <family val="2"/>
          </rPr>
          <t>adele de-valera:</t>
        </r>
        <r>
          <rPr>
            <sz val="9"/>
            <color indexed="81"/>
            <rFont val="Tahoma"/>
            <family val="2"/>
          </rPr>
          <t xml:space="preserve">
N/A
</t>
        </r>
      </text>
    </comment>
    <comment ref="Q14" authorId="0" shapeId="0" xr:uid="{2BC51F0B-DB3F-4C7E-943F-61F7B882CD83}">
      <text>
        <r>
          <rPr>
            <b/>
            <sz val="9"/>
            <color indexed="81"/>
            <rFont val="Tahoma"/>
            <family val="2"/>
          </rPr>
          <t>adele de-valera:</t>
        </r>
        <r>
          <rPr>
            <sz val="9"/>
            <color indexed="81"/>
            <rFont val="Tahoma"/>
            <family val="2"/>
          </rPr>
          <t xml:space="preserve">
N/A</t>
        </r>
      </text>
    </comment>
    <comment ref="R14" authorId="0" shapeId="0" xr:uid="{A7F0F719-D3D5-4F2A-A711-3EFF9D5D3E94}">
      <text>
        <r>
          <rPr>
            <b/>
            <sz val="9"/>
            <color indexed="81"/>
            <rFont val="Tahoma"/>
            <family val="2"/>
          </rPr>
          <t>adele de-valera:</t>
        </r>
        <r>
          <rPr>
            <sz val="9"/>
            <color indexed="81"/>
            <rFont val="Tahoma"/>
            <family val="2"/>
          </rPr>
          <t xml:space="preserve">
N/A</t>
        </r>
      </text>
    </comment>
    <comment ref="T14" authorId="0" shapeId="0" xr:uid="{C80B0592-36B7-4DD2-A48E-B3CFC0134DB8}">
      <text>
        <r>
          <rPr>
            <b/>
            <sz val="9"/>
            <color indexed="81"/>
            <rFont val="Tahoma"/>
            <family val="2"/>
          </rPr>
          <t>adele de-valera:</t>
        </r>
        <r>
          <rPr>
            <sz val="9"/>
            <color indexed="81"/>
            <rFont val="Tahoma"/>
            <family val="2"/>
          </rPr>
          <t xml:space="preserve">
N/A</t>
        </r>
      </text>
    </comment>
    <comment ref="A15" authorId="0" shapeId="0" xr:uid="{8AE0E653-8D0F-4843-8768-86E892E12C88}">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D15" authorId="0" shapeId="0" xr:uid="{4C71E7F1-30FD-4E73-8A3A-0BFC47130B35}">
      <text>
        <r>
          <rPr>
            <b/>
            <sz val="9"/>
            <color indexed="81"/>
            <rFont val="Tahoma"/>
            <family val="2"/>
          </rPr>
          <t>adele de-valera:</t>
        </r>
        <r>
          <rPr>
            <sz val="9"/>
            <color indexed="81"/>
            <rFont val="Tahoma"/>
            <family val="2"/>
          </rPr>
          <t xml:space="preserve">
N/A</t>
        </r>
      </text>
    </comment>
    <comment ref="E15" authorId="0" shapeId="0" xr:uid="{2E1BF51E-7AF7-4B5A-ADFA-D67B7B62B4D1}">
      <text>
        <r>
          <rPr>
            <b/>
            <sz val="9"/>
            <color indexed="81"/>
            <rFont val="Tahoma"/>
            <family val="2"/>
          </rPr>
          <t>adele de-valera:</t>
        </r>
        <r>
          <rPr>
            <sz val="9"/>
            <color indexed="81"/>
            <rFont val="Tahoma"/>
            <family val="2"/>
          </rPr>
          <t xml:space="preserve">
N/A</t>
        </r>
      </text>
    </comment>
    <comment ref="G15" authorId="0" shapeId="0" xr:uid="{6D4C8E9C-0C23-4374-AD27-D445C5ACFD78}">
      <text>
        <r>
          <rPr>
            <b/>
            <sz val="9"/>
            <color indexed="81"/>
            <rFont val="Tahoma"/>
            <family val="2"/>
          </rPr>
          <t>adele de-valera:</t>
        </r>
        <r>
          <rPr>
            <sz val="9"/>
            <color indexed="81"/>
            <rFont val="Tahoma"/>
            <family val="2"/>
          </rPr>
          <t xml:space="preserve">
N/A</t>
        </r>
      </text>
    </comment>
    <comment ref="B19" authorId="0" shapeId="0" xr:uid="{F2F7A063-C0AB-45B6-8406-52B10ED7F436}">
      <text>
        <r>
          <rPr>
            <b/>
            <sz val="9"/>
            <color indexed="81"/>
            <rFont val="Tahoma"/>
            <family val="2"/>
          </rPr>
          <t>adele de-valera:</t>
        </r>
        <r>
          <rPr>
            <sz val="9"/>
            <color indexed="81"/>
            <rFont val="Tahoma"/>
            <family val="2"/>
          </rPr>
          <t xml:space="preserve">
"Increasing costs and eventually shift of lab’s research focus due to new future budget constraints might impact this project"  
cf M8 update</t>
        </r>
      </text>
    </comment>
    <comment ref="K19" authorId="0" shapeId="0" xr:uid="{E3E9C6C9-1981-4D1E-BCA5-D4EAD1E9856F}">
      <text>
        <r>
          <rPr>
            <b/>
            <sz val="9"/>
            <color indexed="81"/>
            <rFont val="Tahoma"/>
            <family val="2"/>
          </rPr>
          <t>adele de-valera:</t>
        </r>
        <r>
          <rPr>
            <sz val="9"/>
            <color indexed="81"/>
            <rFont val="Tahoma"/>
            <family val="2"/>
          </rPr>
          <t xml:space="preserve">
"However there is the concern of when to start ESS junior engineer contract 
1year covering WP5 + 1year covering WP6 (total 2 years)
There is the need for starting asap (early 2025) and that would be advisable, but that would mean falling short on support to the most critical project activities (year 4). Possibility for extension needs to be checked."
cf M8 update</t>
        </r>
      </text>
    </comment>
    <comment ref="S19" authorId="0" shapeId="0" xr:uid="{ED418952-D761-497B-B35E-7F851EDF88DB}">
      <text>
        <r>
          <rPr>
            <b/>
            <sz val="9"/>
            <color indexed="81"/>
            <rFont val="Tahoma"/>
            <family val="2"/>
          </rPr>
          <t>adele de-valera:</t>
        </r>
        <r>
          <rPr>
            <sz val="9"/>
            <color indexed="81"/>
            <rFont val="Tahoma"/>
            <family val="2"/>
          </rPr>
          <t xml:space="preserve">
To make sure the transition VUB -&gt; Nikhef allows for J to use travel fund originally allocated to VUB</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adele de-valera</author>
  </authors>
  <commentList>
    <comment ref="G2" authorId="0" shapeId="0" xr:uid="{B7846D3C-C48E-4246-9382-E65C5F482BD9}">
      <text>
        <r>
          <rPr>
            <b/>
            <sz val="9"/>
            <color indexed="81"/>
            <rFont val="Tahoma"/>
            <family val="2"/>
          </rPr>
          <t>adele de-valera:</t>
        </r>
        <r>
          <rPr>
            <sz val="9"/>
            <color indexed="81"/>
            <rFont val="Tahoma"/>
            <family val="2"/>
          </rPr>
          <t xml:space="preserve">
Ventilation prévisionnelle dans GESLAB :
EPM: 100 000
Missions: 43 000 (WP4 2 000 + WP8 30 000 + WP9 11 000)
Equipement ou charge d'amortissement: 736 000 (WP6)
Autres coûts: 11 000 (WP8 5 000 + WP9 6 000)
Coûts indirects: 222 500 (WP6 184 500 + WP8 8 750 + WP9 29 250)
Total: 1 112 500</t>
        </r>
      </text>
    </comment>
    <comment ref="B4" authorId="0" shapeId="0" xr:uid="{20156F62-F2DA-4E90-A631-D707EE6936EA}">
      <text>
        <r>
          <rPr>
            <b/>
            <sz val="9"/>
            <color indexed="81"/>
            <rFont val="Tahoma"/>
            <family val="2"/>
          </rPr>
          <t>adele de-valera:</t>
        </r>
        <r>
          <rPr>
            <sz val="9"/>
            <color indexed="81"/>
            <rFont val="Tahoma"/>
            <family val="2"/>
          </rPr>
          <t xml:space="preserve">
N/A</t>
        </r>
      </text>
    </comment>
    <comment ref="C4" authorId="0" shapeId="0" xr:uid="{E9B963EC-5859-40A7-A61A-A05FF408CFE7}">
      <text>
        <r>
          <rPr>
            <b/>
            <sz val="9"/>
            <color indexed="81"/>
            <rFont val="Tahoma"/>
            <family val="2"/>
          </rPr>
          <t>adele de-valera:</t>
        </r>
        <r>
          <rPr>
            <sz val="9"/>
            <color indexed="81"/>
            <rFont val="Tahoma"/>
            <family val="2"/>
          </rPr>
          <t xml:space="preserve">
N/A</t>
        </r>
      </text>
    </comment>
    <comment ref="D4" authorId="0" shapeId="0" xr:uid="{6F5DA45A-3914-41CA-A03E-332ED4A34569}">
      <text>
        <r>
          <rPr>
            <b/>
            <sz val="9"/>
            <color indexed="81"/>
            <rFont val="Tahoma"/>
            <family val="2"/>
          </rPr>
          <t>adele de-valera:</t>
        </r>
        <r>
          <rPr>
            <sz val="9"/>
            <color indexed="81"/>
            <rFont val="Tahoma"/>
            <family val="2"/>
          </rPr>
          <t xml:space="preserve">
6 525 expected in senior &amp; 
209 844 for junior scientists </t>
        </r>
      </text>
    </comment>
    <comment ref="E4" authorId="0" shapeId="0" xr:uid="{014CDDE8-6948-4F60-B2F9-DBF9F6E4EE99}">
      <text>
        <r>
          <rPr>
            <b/>
            <sz val="9"/>
            <color indexed="81"/>
            <rFont val="Tahoma"/>
            <family val="2"/>
          </rPr>
          <t>adele de-valera:</t>
        </r>
        <r>
          <rPr>
            <sz val="9"/>
            <color indexed="81"/>
            <rFont val="Tahoma"/>
            <family val="2"/>
          </rPr>
          <t xml:space="preserve">
53 000 expected in junior scientists</t>
        </r>
      </text>
    </comment>
    <comment ref="F4" authorId="0" shapeId="0" xr:uid="{DCFDD379-6BFA-4B76-894D-22036C4018BB}">
      <text>
        <r>
          <rPr>
            <b/>
            <sz val="9"/>
            <color indexed="81"/>
            <rFont val="Tahoma"/>
            <family val="2"/>
          </rPr>
          <t>adele de-valera:</t>
        </r>
        <r>
          <rPr>
            <sz val="9"/>
            <color indexed="81"/>
            <rFont val="Tahoma"/>
            <family val="2"/>
          </rPr>
          <t xml:space="preserve">
N/A</t>
        </r>
      </text>
    </comment>
    <comment ref="G4" authorId="0" shapeId="0" xr:uid="{19B62A4D-ECB6-4677-9E0E-1E332DF24BB1}">
      <text>
        <r>
          <rPr>
            <b/>
            <sz val="9"/>
            <color indexed="81"/>
            <rFont val="Tahoma"/>
            <family val="2"/>
          </rPr>
          <t>adele de-valera:</t>
        </r>
        <r>
          <rPr>
            <sz val="9"/>
            <color indexed="81"/>
            <rFont val="Tahoma"/>
            <family val="2"/>
          </rPr>
          <t xml:space="preserve">
N/A</t>
        </r>
      </text>
    </comment>
    <comment ref="H4" authorId="0" shapeId="0" xr:uid="{6E8CC352-6A27-4D8A-9774-C921367143F7}">
      <text>
        <r>
          <rPr>
            <b/>
            <sz val="9"/>
            <color indexed="81"/>
            <rFont val="Tahoma"/>
            <family val="2"/>
          </rPr>
          <t>adele de-valera:</t>
        </r>
        <r>
          <rPr>
            <sz val="9"/>
            <color indexed="81"/>
            <rFont val="Tahoma"/>
            <family val="2"/>
          </rPr>
          <t xml:space="preserve">
N/A</t>
        </r>
      </text>
    </comment>
    <comment ref="I4" authorId="0" shapeId="0" xr:uid="{4077AF02-2456-4C9F-9986-2F857EC5BD37}">
      <text>
        <r>
          <rPr>
            <b/>
            <sz val="9"/>
            <color indexed="81"/>
            <rFont val="Tahoma"/>
            <family val="2"/>
          </rPr>
          <t>adele de-valera:</t>
        </r>
        <r>
          <rPr>
            <sz val="9"/>
            <color indexed="81"/>
            <rFont val="Tahoma"/>
            <family val="2"/>
          </rPr>
          <t xml:space="preserve">
for iSAS EPM</t>
        </r>
      </text>
    </comment>
    <comment ref="J4" authorId="0" shapeId="0" xr:uid="{7C030479-182D-4360-ACC3-7BFFC94EBF35}">
      <text>
        <r>
          <rPr>
            <b/>
            <sz val="9"/>
            <color indexed="81"/>
            <rFont val="Tahoma"/>
            <family val="2"/>
          </rPr>
          <t>adele de-valera:</t>
        </r>
        <r>
          <rPr>
            <sz val="9"/>
            <color indexed="81"/>
            <rFont val="Tahoma"/>
            <family val="2"/>
          </rPr>
          <t xml:space="preserve">
230 000 expected in junior scientists</t>
        </r>
      </text>
    </comment>
    <comment ref="K4" authorId="0" shapeId="0" xr:uid="{A9012482-AE4F-4B7A-915A-7A0FF6E5D66B}">
      <text>
        <r>
          <rPr>
            <b/>
            <sz val="9"/>
            <color indexed="81"/>
            <rFont val="Tahoma"/>
            <family val="2"/>
          </rPr>
          <t>adele de-valera:</t>
        </r>
        <r>
          <rPr>
            <sz val="9"/>
            <color indexed="81"/>
            <rFont val="Tahoma"/>
            <family val="2"/>
          </rPr>
          <t xml:space="preserve">
75 000 expected in junior scientists</t>
        </r>
      </text>
    </comment>
    <comment ref="L4" authorId="0" shapeId="0" xr:uid="{CFA39D31-6871-4436-9A14-1CEC6960E70D}">
      <text>
        <r>
          <rPr>
            <b/>
            <sz val="9"/>
            <color indexed="81"/>
            <rFont val="Tahoma"/>
            <family val="2"/>
          </rPr>
          <t>adele de-valera:</t>
        </r>
        <r>
          <rPr>
            <sz val="9"/>
            <color indexed="81"/>
            <rFont val="Tahoma"/>
            <family val="2"/>
          </rPr>
          <t xml:space="preserve">
75 000 expected in junior scientists</t>
        </r>
      </text>
    </comment>
    <comment ref="M4" authorId="0" shapeId="0" xr:uid="{79C34DFC-AE03-4826-ABD3-3D2DE20A33F8}">
      <text>
        <r>
          <rPr>
            <b/>
            <sz val="9"/>
            <color indexed="81"/>
            <rFont val="Tahoma"/>
            <family val="2"/>
          </rPr>
          <t>adele de-valera:</t>
        </r>
        <r>
          <rPr>
            <sz val="9"/>
            <color indexed="81"/>
            <rFont val="Tahoma"/>
            <family val="2"/>
          </rPr>
          <t xml:space="preserve">
255 300 expected in junior scientists</t>
        </r>
      </text>
    </comment>
    <comment ref="N4" authorId="0" shapeId="0" xr:uid="{C2DC7BE3-AEC3-47FE-87DD-86DBC2CE74E4}">
      <text>
        <r>
          <rPr>
            <b/>
            <sz val="9"/>
            <color indexed="81"/>
            <rFont val="Tahoma"/>
            <family val="2"/>
          </rPr>
          <t>adele de-valera:</t>
        </r>
        <r>
          <rPr>
            <sz val="9"/>
            <color indexed="81"/>
            <rFont val="Tahoma"/>
            <family val="2"/>
          </rPr>
          <t xml:space="preserve">
169 050 expected in junior scientists</t>
        </r>
      </text>
    </comment>
    <comment ref="O4" authorId="0" shapeId="0" xr:uid="{513D79EE-3513-44C2-993E-69E626882C1E}">
      <text>
        <r>
          <rPr>
            <b/>
            <sz val="9"/>
            <color indexed="81"/>
            <rFont val="Tahoma"/>
            <family val="2"/>
          </rPr>
          <t>adele de-valera:</t>
        </r>
        <r>
          <rPr>
            <sz val="9"/>
            <color indexed="81"/>
            <rFont val="Tahoma"/>
            <family val="2"/>
          </rPr>
          <t xml:space="preserve">
200 100 expected in senior scientists</t>
        </r>
      </text>
    </comment>
    <comment ref="P4" authorId="0" shapeId="0" xr:uid="{C71B2244-36BF-456D-8C5D-D26C261E28E9}">
      <text>
        <r>
          <rPr>
            <b/>
            <sz val="9"/>
            <color indexed="81"/>
            <rFont val="Tahoma"/>
            <family val="2"/>
          </rPr>
          <t>adele de-valera:</t>
        </r>
        <r>
          <rPr>
            <sz val="9"/>
            <color indexed="81"/>
            <rFont val="Tahoma"/>
            <family val="2"/>
          </rPr>
          <t xml:space="preserve">
10 000 expected in senior and 
120 000 in junior scientists</t>
        </r>
      </text>
    </comment>
    <comment ref="Q4" authorId="0" shapeId="0" xr:uid="{01A7D102-7E17-4E21-8138-52333F888AF2}">
      <text>
        <r>
          <rPr>
            <b/>
            <sz val="9"/>
            <color indexed="81"/>
            <rFont val="Tahoma"/>
            <family val="2"/>
          </rPr>
          <t>adele de-valera:</t>
        </r>
        <r>
          <rPr>
            <sz val="9"/>
            <color indexed="81"/>
            <rFont val="Tahoma"/>
            <family val="2"/>
          </rPr>
          <t xml:space="preserve">
120 000 expected in junior scientists</t>
        </r>
      </text>
    </comment>
    <comment ref="R4" authorId="0" shapeId="0" xr:uid="{9D467FD1-3F0D-463F-AAB6-585562A17593}">
      <text>
        <r>
          <rPr>
            <b/>
            <sz val="9"/>
            <color indexed="81"/>
            <rFont val="Tahoma"/>
            <family val="2"/>
          </rPr>
          <t>adele de-valera:</t>
        </r>
        <r>
          <rPr>
            <sz val="9"/>
            <color indexed="81"/>
            <rFont val="Tahoma"/>
            <family val="2"/>
          </rPr>
          <t xml:space="preserve">
N/A</t>
        </r>
      </text>
    </comment>
    <comment ref="S4" authorId="0" shapeId="0" xr:uid="{3CEFF8A4-95AB-4834-B544-08C8B1DAF72D}">
      <text>
        <r>
          <rPr>
            <b/>
            <sz val="9"/>
            <color indexed="81"/>
            <rFont val="Tahoma"/>
            <family val="2"/>
          </rPr>
          <t>adele de-valera:</t>
        </r>
        <r>
          <rPr>
            <sz val="9"/>
            <color indexed="81"/>
            <rFont val="Tahoma"/>
            <family val="2"/>
          </rPr>
          <t xml:space="preserve">
N/A</t>
        </r>
      </text>
    </comment>
    <comment ref="T4" authorId="0" shapeId="0" xr:uid="{7D814893-D71B-4206-9802-89F963442F77}">
      <text>
        <r>
          <rPr>
            <b/>
            <sz val="9"/>
            <color indexed="81"/>
            <rFont val="Tahoma"/>
            <family val="2"/>
          </rPr>
          <t>adele de-valera:</t>
        </r>
        <r>
          <rPr>
            <sz val="9"/>
            <color indexed="81"/>
            <rFont val="Tahoma"/>
            <family val="2"/>
          </rPr>
          <t xml:space="preserve">
N/A</t>
        </r>
      </text>
    </comment>
    <comment ref="A5" authorId="0" shapeId="0" xr:uid="{CC36D3FD-E604-41D3-9305-9EF3F0C9FE6D}">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B5" authorId="0" shapeId="0" xr:uid="{BE34D1F5-677F-43F3-95EA-BA56ACD6546E}">
      <text>
        <r>
          <rPr>
            <b/>
            <sz val="9"/>
            <color indexed="81"/>
            <rFont val="Tahoma"/>
            <family val="2"/>
          </rPr>
          <t>adele de-valera:</t>
        </r>
        <r>
          <rPr>
            <sz val="9"/>
            <color indexed="81"/>
            <rFont val="Tahoma"/>
            <family val="2"/>
          </rPr>
          <t xml:space="preserve">
10 000 expected in subcontracting
2 000 expected in travel
15 000 expected in equipment
72 000 expected in consumables</t>
        </r>
      </text>
    </comment>
    <comment ref="C5" authorId="0" shapeId="0" xr:uid="{54A56722-EE87-46A6-AC89-3E26F462A73C}">
      <text>
        <r>
          <rPr>
            <b/>
            <sz val="9"/>
            <color indexed="81"/>
            <rFont val="Tahoma"/>
            <family val="2"/>
          </rPr>
          <t>adele de-valera:</t>
        </r>
        <r>
          <rPr>
            <sz val="9"/>
            <color indexed="81"/>
            <rFont val="Tahoma"/>
            <family val="2"/>
          </rPr>
          <t xml:space="preserve">
2 000 expected in travel
250 000 expected in consumables</t>
        </r>
      </text>
    </comment>
    <comment ref="D5" authorId="0" shapeId="0" xr:uid="{77E002D9-52F0-4660-AA75-212CAFFB7812}">
      <text>
        <r>
          <rPr>
            <b/>
            <sz val="9"/>
            <color indexed="81"/>
            <rFont val="Tahoma"/>
            <family val="2"/>
          </rPr>
          <t>adele de-valera:</t>
        </r>
        <r>
          <rPr>
            <sz val="9"/>
            <color indexed="81"/>
            <rFont val="Tahoma"/>
            <family val="2"/>
          </rPr>
          <t xml:space="preserve">
50 000 expected in subcontracting 
5 000 expected in travel
13 750 expected in equipment
45 000 expected in consumables</t>
        </r>
      </text>
    </comment>
    <comment ref="E5" authorId="0" shapeId="0" xr:uid="{8FDB759E-1914-49F6-AAD2-1782F8F58EEF}">
      <text>
        <r>
          <rPr>
            <b/>
            <sz val="9"/>
            <color indexed="81"/>
            <rFont val="Tahoma"/>
            <family val="2"/>
          </rPr>
          <t>adele de-valera:</t>
        </r>
        <r>
          <rPr>
            <sz val="9"/>
            <color indexed="81"/>
            <rFont val="Tahoma"/>
            <family val="2"/>
          </rPr>
          <t xml:space="preserve">
3 000 expected in travel
228 750 expected in equipment
50 000 expected in consumables</t>
        </r>
      </text>
    </comment>
    <comment ref="F5" authorId="0" shapeId="0" xr:uid="{25EF502B-23A8-40F2-85F9-D5D199CECB54}">
      <text>
        <r>
          <rPr>
            <b/>
            <sz val="9"/>
            <color indexed="81"/>
            <rFont val="Tahoma"/>
            <family val="2"/>
          </rPr>
          <t>adele de-valera:</t>
        </r>
        <r>
          <rPr>
            <sz val="9"/>
            <color indexed="81"/>
            <rFont val="Tahoma"/>
            <family val="2"/>
          </rPr>
          <t xml:space="preserve">
2 000 expected in travel</t>
        </r>
      </text>
    </comment>
    <comment ref="G5" authorId="0" shapeId="0" xr:uid="{A9A1CC54-2F95-4BF9-B066-71CC072E3F4D}">
      <text>
        <r>
          <rPr>
            <b/>
            <sz val="9"/>
            <color indexed="81"/>
            <rFont val="Tahoma"/>
            <family val="2"/>
          </rPr>
          <t>adele de-valera:</t>
        </r>
        <r>
          <rPr>
            <sz val="9"/>
            <color indexed="81"/>
            <rFont val="Tahoma"/>
            <family val="2"/>
          </rPr>
          <t xml:space="preserve">
2 000 expected in travel 
736 000 expected in equipment (debate ongoing whether niobium is to be considered conusmable or equipment)</t>
        </r>
      </text>
    </comment>
    <comment ref="H5" authorId="0" shapeId="0" xr:uid="{7379231B-9F43-4FFA-996C-0B2866DF26B1}">
      <text>
        <r>
          <rPr>
            <b/>
            <sz val="9"/>
            <color indexed="81"/>
            <rFont val="Tahoma"/>
            <family val="2"/>
          </rPr>
          <t>adele de-valera:</t>
        </r>
        <r>
          <rPr>
            <sz val="9"/>
            <color indexed="81"/>
            <rFont val="Tahoma"/>
            <family val="2"/>
          </rPr>
          <t xml:space="preserve">
30 000 expected in travel
5 000 expeted in publication fees</t>
        </r>
      </text>
    </comment>
    <comment ref="I5" authorId="0" shapeId="0" xr:uid="{F77266FA-3119-4975-81FA-C174A2FDD0C0}">
      <text>
        <r>
          <rPr>
            <b/>
            <sz val="9"/>
            <color indexed="81"/>
            <rFont val="Tahoma"/>
            <family val="2"/>
          </rPr>
          <t>adele de-valera:</t>
        </r>
        <r>
          <rPr>
            <sz val="9"/>
            <color indexed="81"/>
            <rFont val="Tahoma"/>
            <family val="2"/>
          </rPr>
          <t xml:space="preserve">
11 000 expected in travel
5 000 expected in publication fees
1 000 expected in others like shipment</t>
        </r>
      </text>
    </comment>
    <comment ref="J5" authorId="0" shapeId="0" xr:uid="{7CFF72B1-163F-4DEA-A57E-AD8DB6BE5DB9}">
      <text>
        <r>
          <rPr>
            <b/>
            <sz val="9"/>
            <color indexed="81"/>
            <rFont val="Tahoma"/>
            <family val="2"/>
          </rPr>
          <t>adele de-valera:</t>
        </r>
        <r>
          <rPr>
            <sz val="9"/>
            <color indexed="81"/>
            <rFont val="Tahoma"/>
            <family val="2"/>
          </rPr>
          <t xml:space="preserve">
N/A</t>
        </r>
      </text>
    </comment>
    <comment ref="K5" authorId="0" shapeId="0" xr:uid="{2E8351CC-4521-4478-8C70-5B7120291267}">
      <text>
        <r>
          <rPr>
            <b/>
            <sz val="9"/>
            <color indexed="81"/>
            <rFont val="Tahoma"/>
            <family val="2"/>
          </rPr>
          <t>adele de-valera:</t>
        </r>
        <r>
          <rPr>
            <sz val="9"/>
            <color indexed="81"/>
            <rFont val="Tahoma"/>
            <family val="2"/>
          </rPr>
          <t xml:space="preserve">
5 000 expected in others</t>
        </r>
      </text>
    </comment>
    <comment ref="L5" authorId="0" shapeId="0" xr:uid="{9F75A015-4949-4BAB-96B0-6A06D75B1665}">
      <text>
        <r>
          <rPr>
            <b/>
            <sz val="9"/>
            <color indexed="81"/>
            <rFont val="Tahoma"/>
            <family val="2"/>
          </rPr>
          <t>adele de-valera:</t>
        </r>
        <r>
          <rPr>
            <sz val="9"/>
            <color indexed="81"/>
            <rFont val="Tahoma"/>
            <family val="2"/>
          </rPr>
          <t xml:space="preserve">
22 000 expected in travel
100 000 expected in consumables</t>
        </r>
      </text>
    </comment>
    <comment ref="M5" authorId="0" shapeId="0" xr:uid="{FE0D1486-9944-48DA-A57C-AE5277C05133}">
      <text>
        <r>
          <rPr>
            <b/>
            <sz val="9"/>
            <color indexed="81"/>
            <rFont val="Tahoma"/>
            <family val="2"/>
          </rPr>
          <t>adele de-valera:</t>
        </r>
        <r>
          <rPr>
            <sz val="9"/>
            <color indexed="81"/>
            <rFont val="Tahoma"/>
            <family val="2"/>
          </rPr>
          <t xml:space="preserve">
16 000 expected in travel
200 000 expected in consumables</t>
        </r>
      </text>
    </comment>
    <comment ref="N5" authorId="0" shapeId="0" xr:uid="{86630715-FA68-4460-84F4-74FA384A5498}">
      <text>
        <r>
          <rPr>
            <b/>
            <sz val="9"/>
            <color indexed="81"/>
            <rFont val="Tahoma"/>
            <family val="2"/>
          </rPr>
          <t>adele de-valera:</t>
        </r>
        <r>
          <rPr>
            <sz val="9"/>
            <color indexed="81"/>
            <rFont val="Tahoma"/>
            <family val="2"/>
          </rPr>
          <t xml:space="preserve">
N/A</t>
        </r>
      </text>
    </comment>
    <comment ref="O5" authorId="0" shapeId="0" xr:uid="{6977AC61-7B8D-4658-9F07-54E616428AF2}">
      <text>
        <r>
          <rPr>
            <b/>
            <sz val="9"/>
            <color indexed="81"/>
            <rFont val="Tahoma"/>
            <family val="2"/>
          </rPr>
          <t>adele de-valera:</t>
        </r>
        <r>
          <rPr>
            <sz val="9"/>
            <color indexed="81"/>
            <rFont val="Tahoma"/>
            <family val="2"/>
          </rPr>
          <t xml:space="preserve">
N/A</t>
        </r>
      </text>
    </comment>
    <comment ref="P5" authorId="0" shapeId="0" xr:uid="{421932ED-557C-4A9B-B0A1-A022FA38B50D}">
      <text>
        <r>
          <rPr>
            <b/>
            <sz val="9"/>
            <color indexed="81"/>
            <rFont val="Tahoma"/>
            <family val="2"/>
          </rPr>
          <t>adele de-valera:</t>
        </r>
        <r>
          <rPr>
            <sz val="9"/>
            <color indexed="81"/>
            <rFont val="Tahoma"/>
            <family val="2"/>
          </rPr>
          <t xml:space="preserve">
10 000 expected in travel
60 000 expected in consumables</t>
        </r>
      </text>
    </comment>
    <comment ref="Q5" authorId="0" shapeId="0" xr:uid="{7F42F733-9BAC-40E2-8493-B531E2011283}">
      <text>
        <r>
          <rPr>
            <b/>
            <sz val="9"/>
            <color indexed="81"/>
            <rFont val="Tahoma"/>
            <family val="2"/>
          </rPr>
          <t>adele de-valera:</t>
        </r>
        <r>
          <rPr>
            <sz val="9"/>
            <color indexed="81"/>
            <rFont val="Tahoma"/>
            <family val="2"/>
          </rPr>
          <t xml:space="preserve">
3 000 expected in travel</t>
        </r>
      </text>
    </comment>
    <comment ref="R5" authorId="0" shapeId="0" xr:uid="{49689D87-3F00-4479-8909-91CAEA3554B4}">
      <text>
        <r>
          <rPr>
            <b/>
            <sz val="9"/>
            <color indexed="81"/>
            <rFont val="Tahoma"/>
            <family val="2"/>
          </rPr>
          <t>adele de-valera:</t>
        </r>
        <r>
          <rPr>
            <sz val="9"/>
            <color indexed="81"/>
            <rFont val="Tahoma"/>
            <family val="2"/>
          </rPr>
          <t xml:space="preserve">
2 000 expected in travel
104 000 expected in consumables</t>
        </r>
      </text>
    </comment>
    <comment ref="S5" authorId="0" shapeId="0" xr:uid="{941D914B-E80A-47CE-B743-08A6298A2519}">
      <text>
        <r>
          <rPr>
            <b/>
            <sz val="9"/>
            <color indexed="81"/>
            <rFont val="Tahoma"/>
            <family val="2"/>
          </rPr>
          <t>adele de-valera:</t>
        </r>
        <r>
          <rPr>
            <sz val="9"/>
            <color indexed="81"/>
            <rFont val="Tahoma"/>
            <family val="2"/>
          </rPr>
          <t xml:space="preserve">
2000 expected in subcontracting
32000 expected in travel
6000 allocated in services for dissemination activities (website) </t>
        </r>
      </text>
    </comment>
    <comment ref="T5" authorId="0" shapeId="0" xr:uid="{E7060383-CD07-454F-9D07-D0C02D79672D}">
      <text>
        <r>
          <rPr>
            <b/>
            <sz val="9"/>
            <color indexed="81"/>
            <rFont val="Tahoma"/>
            <family val="2"/>
          </rPr>
          <t>adele de-valera:</t>
        </r>
        <r>
          <rPr>
            <sz val="9"/>
            <color indexed="81"/>
            <rFont val="Tahoma"/>
            <family val="2"/>
          </rPr>
          <t xml:space="preserve">
16 000 € expected in travel
</t>
        </r>
      </text>
    </comment>
    <comment ref="A7" authorId="0" shapeId="0" xr:uid="{4A2E893A-AEEB-4238-991F-4A4B11722293}">
      <text>
        <r>
          <rPr>
            <b/>
            <sz val="9"/>
            <color indexed="81"/>
            <rFont val="Tahoma"/>
            <family val="2"/>
          </rPr>
          <t>adele de-valera:</t>
        </r>
        <r>
          <rPr>
            <sz val="9"/>
            <color indexed="81"/>
            <rFont val="Tahoma"/>
            <family val="2"/>
          </rPr>
          <t xml:space="preserve">
subtotal of direct costs</t>
        </r>
      </text>
    </comment>
    <comment ref="A8" authorId="0" shapeId="0" xr:uid="{289B7D46-B83A-456C-BA77-1D9875AA605B}">
      <text>
        <r>
          <rPr>
            <b/>
            <sz val="9"/>
            <color indexed="81"/>
            <rFont val="Tahoma"/>
            <family val="2"/>
          </rPr>
          <t>adele de-valera:</t>
        </r>
        <r>
          <rPr>
            <sz val="9"/>
            <color indexed="81"/>
            <rFont val="Tahoma"/>
            <family val="2"/>
          </rPr>
          <t xml:space="preserve">
subcontracting costs left out of the equation
25% only apply to direct personnel costs and direct purchase costs</t>
        </r>
      </text>
    </comment>
    <comment ref="D8" authorId="0" shapeId="0" xr:uid="{1C890D43-3F4D-41D4-9EF5-ECE80BD5BF5C}">
      <text>
        <r>
          <rPr>
            <b/>
            <sz val="9"/>
            <color indexed="81"/>
            <rFont val="Tahoma"/>
            <family val="2"/>
          </rPr>
          <t>adele de-valera:</t>
        </r>
        <r>
          <rPr>
            <sz val="9"/>
            <color indexed="81"/>
            <rFont val="Tahoma"/>
            <family val="2"/>
          </rPr>
          <t xml:space="preserve">
70 029, 75 €</t>
        </r>
      </text>
    </comment>
    <comment ref="G10" authorId="0" shapeId="0" xr:uid="{1F368BBB-F403-4303-85B0-531AE9452DB7}">
      <text>
        <r>
          <rPr>
            <b/>
            <sz val="9"/>
            <color indexed="81"/>
            <rFont val="Tahoma"/>
            <family val="2"/>
          </rPr>
          <t>adele de-valera:</t>
        </r>
        <r>
          <rPr>
            <sz val="9"/>
            <color indexed="81"/>
            <rFont val="Tahoma"/>
            <family val="2"/>
          </rPr>
          <t xml:space="preserve">
s/ 1 112 500,00 max
dont - 222 500 coûts indirects
donc 890 000 coûts directs max
54 000 to be allocated still max</t>
        </r>
      </text>
    </comment>
    <comment ref="S12" authorId="0" shapeId="0" xr:uid="{DACCCF1F-ABAB-400A-8CBD-6B3E80227D9D}">
      <text>
        <r>
          <rPr>
            <b/>
            <sz val="9"/>
            <color indexed="81"/>
            <rFont val="Tahoma"/>
            <family val="2"/>
          </rPr>
          <t>adele de-valera:</t>
        </r>
        <r>
          <rPr>
            <sz val="9"/>
            <color indexed="81"/>
            <rFont val="Tahoma"/>
            <family val="2"/>
          </rPr>
          <t xml:space="preserve">
80% of total grant</t>
        </r>
      </text>
    </comment>
    <comment ref="R13" authorId="0" shapeId="0" xr:uid="{6C4596FB-AFD6-46B9-B16E-B5C98C9E6BA2}">
      <text>
        <r>
          <rPr>
            <b/>
            <sz val="9"/>
            <color indexed="81"/>
            <rFont val="Tahoma"/>
            <family val="2"/>
          </rPr>
          <t>adele de-valera:</t>
        </r>
        <r>
          <rPr>
            <sz val="9"/>
            <color indexed="81"/>
            <rFont val="Tahoma"/>
            <family val="2"/>
          </rPr>
          <t xml:space="preserve">
-5% (from total grant) reduction of initial prefinancing</t>
        </r>
      </text>
    </comment>
    <comment ref="R14" authorId="0" shapeId="0" xr:uid="{46643CF6-AA4C-4A0D-81E1-F5C110203C52}">
      <text>
        <r>
          <rPr>
            <b/>
            <sz val="9"/>
            <color indexed="81"/>
            <rFont val="Tahoma"/>
            <family val="2"/>
          </rPr>
          <t>adele de-valera:</t>
        </r>
        <r>
          <rPr>
            <sz val="9"/>
            <color indexed="81"/>
            <rFont val="Tahoma"/>
            <family val="2"/>
          </rPr>
          <t xml:space="preserve">
75% of total grant
327 187, 50 CEA
615 814, 68 CERN
834 375 CNRS
215 718, 75 DESY
259 687, 49 ESS
787 921, 87 HZB
439 312, 50 INFN
15 000 VUB</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adele de-valera</author>
  </authors>
  <commentList>
    <comment ref="B4" authorId="0" shapeId="0" xr:uid="{8448321A-ABE2-4642-A466-9D0ED1BCFE65}">
      <text>
        <r>
          <rPr>
            <b/>
            <sz val="9"/>
            <color indexed="81"/>
            <rFont val="Tahoma"/>
            <family val="2"/>
          </rPr>
          <t>adele de-valera:</t>
        </r>
        <r>
          <rPr>
            <sz val="9"/>
            <color indexed="81"/>
            <rFont val="Tahoma"/>
            <family val="2"/>
          </rPr>
          <t xml:space="preserve">
N/A</t>
        </r>
      </text>
    </comment>
    <comment ref="C4" authorId="0" shapeId="0" xr:uid="{BE467617-D45F-45D3-96DD-647E60252F76}">
      <text>
        <r>
          <rPr>
            <b/>
            <sz val="9"/>
            <color indexed="81"/>
            <rFont val="Tahoma"/>
            <family val="2"/>
          </rPr>
          <t>adele de-valera:</t>
        </r>
        <r>
          <rPr>
            <sz val="9"/>
            <color indexed="81"/>
            <rFont val="Tahoma"/>
            <family val="2"/>
          </rPr>
          <t xml:space="preserve">
N/A</t>
        </r>
      </text>
    </comment>
    <comment ref="D4" authorId="0" shapeId="0" xr:uid="{C9D0B5F4-58B2-4F0A-986B-D0C13016A62F}">
      <text>
        <r>
          <rPr>
            <b/>
            <sz val="9"/>
            <color indexed="81"/>
            <rFont val="Tahoma"/>
            <family val="2"/>
          </rPr>
          <t>adele de-valera:</t>
        </r>
        <r>
          <rPr>
            <sz val="9"/>
            <color indexed="81"/>
            <rFont val="Tahoma"/>
            <family val="2"/>
          </rPr>
          <t xml:space="preserve">
"Of the two positions, one is filled at HZB since beginning of iSAS, CERN is still working on filling their position"
cf WP1 Padova update
6 525 expected in senior &amp; 
209 844 for junior scientists</t>
        </r>
      </text>
    </comment>
    <comment ref="E4" authorId="0" shapeId="0" xr:uid="{FE0FC858-9648-4B73-9FD3-FF792D92BC92}">
      <text>
        <r>
          <rPr>
            <b/>
            <sz val="9"/>
            <color indexed="81"/>
            <rFont val="Tahoma"/>
            <family val="2"/>
          </rPr>
          <t>adele de-valera:</t>
        </r>
        <r>
          <rPr>
            <sz val="9"/>
            <color indexed="81"/>
            <rFont val="Tahoma"/>
            <family val="2"/>
          </rPr>
          <t xml:space="preserve">
"6 pm temporary staff WP4&amp;WP5 (53 k€)"
cf WP4 Padova update
53 000 expected in junior scientists</t>
        </r>
      </text>
    </comment>
    <comment ref="F4" authorId="0" shapeId="0" xr:uid="{AF56AE19-DE73-48D2-9031-3F859C530961}">
      <text>
        <r>
          <rPr>
            <b/>
            <sz val="9"/>
            <color indexed="81"/>
            <rFont val="Tahoma"/>
            <family val="2"/>
          </rPr>
          <t>adele de-valera:</t>
        </r>
        <r>
          <rPr>
            <sz val="9"/>
            <color indexed="81"/>
            <rFont val="Tahoma"/>
            <family val="2"/>
          </rPr>
          <t xml:space="preserve">
N/A</t>
        </r>
      </text>
    </comment>
    <comment ref="G4" authorId="0" shapeId="0" xr:uid="{566C5DFC-4864-4738-A257-75A01DCD61F5}">
      <text>
        <r>
          <rPr>
            <b/>
            <sz val="9"/>
            <color indexed="81"/>
            <rFont val="Tahoma"/>
            <family val="2"/>
          </rPr>
          <t>adele de-valera:</t>
        </r>
        <r>
          <rPr>
            <sz val="9"/>
            <color indexed="81"/>
            <rFont val="Tahoma"/>
            <family val="2"/>
          </rPr>
          <t xml:space="preserve">
N/A
PhD @IJCLAB on absorbers paid by INFN (matching funds?) Discussions on going with a candidate
cf M11 update</t>
        </r>
      </text>
    </comment>
    <comment ref="H4" authorId="0" shapeId="0" xr:uid="{7BE50E99-6C3E-464F-97E4-DB15F0D2D06D}">
      <text>
        <r>
          <rPr>
            <b/>
            <sz val="9"/>
            <color indexed="81"/>
            <rFont val="Tahoma"/>
            <family val="2"/>
          </rPr>
          <t>adele de-valera:</t>
        </r>
        <r>
          <rPr>
            <sz val="9"/>
            <color indexed="81"/>
            <rFont val="Tahoma"/>
            <family val="2"/>
          </rPr>
          <t xml:space="preserve">
N/A</t>
        </r>
      </text>
    </comment>
    <comment ref="I4" authorId="0" shapeId="0" xr:uid="{31D85646-C3B9-4D49-8A0B-8BD432E0B8DB}">
      <text>
        <r>
          <rPr>
            <b/>
            <sz val="9"/>
            <color indexed="81"/>
            <rFont val="Tahoma"/>
            <family val="2"/>
          </rPr>
          <t>adele de-valera:</t>
        </r>
        <r>
          <rPr>
            <sz val="9"/>
            <color indexed="81"/>
            <rFont val="Tahoma"/>
            <family val="2"/>
          </rPr>
          <t xml:space="preserve">
for iSAS EPM
Référencé comme "CDD (PPE incluse)" dans GESLAB ventilation prévisionnelle</t>
        </r>
      </text>
    </comment>
    <comment ref="J4" authorId="0" shapeId="0" xr:uid="{C3A868D8-BB16-4CE5-83E3-51D7E5A81F74}">
      <text>
        <r>
          <rPr>
            <b/>
            <sz val="9"/>
            <color indexed="81"/>
            <rFont val="Tahoma"/>
            <family val="2"/>
          </rPr>
          <t>adele de-valera:</t>
        </r>
        <r>
          <rPr>
            <sz val="9"/>
            <color indexed="81"/>
            <rFont val="Tahoma"/>
            <family val="2"/>
          </rPr>
          <t xml:space="preserve">
"iSAS position to be released this month + advertised on iSAS
Money already spent was to pay personnel to bridge the gap" 
cf WP2 Padova update
230 000 expected in junior scientists</t>
        </r>
      </text>
    </comment>
    <comment ref="K4" authorId="0" shapeId="0" xr:uid="{35B5E573-EB91-44D4-A150-1F6EDD41BEF0}">
      <text>
        <r>
          <rPr>
            <b/>
            <sz val="9"/>
            <color indexed="81"/>
            <rFont val="Tahoma"/>
            <family val="2"/>
          </rPr>
          <t>adele de-valera:</t>
        </r>
        <r>
          <rPr>
            <sz val="9"/>
            <color indexed="81"/>
            <rFont val="Tahoma"/>
            <family val="2"/>
          </rPr>
          <t xml:space="preserve">
"Junior Scientist [ESS]  WP5 (12m) + WP6 (12m) ; Recruitment starting soon + extension to be analysed
...
The PhD student for Task 5.4 is not on the EU budget but is a budget directly from EPFL"
cf WP5 Padova update
PHD student was selected and started 1st OCT2024 (Lode Vanhecke) at EPFL for WP5
75 000 expected in junior scientists</t>
        </r>
      </text>
    </comment>
    <comment ref="L4" authorId="0" shapeId="0" xr:uid="{4DC02DB4-8EAF-4971-895F-B4E1DF70D9CF}">
      <text>
        <r>
          <rPr>
            <b/>
            <sz val="9"/>
            <color indexed="81"/>
            <rFont val="Tahoma"/>
            <family val="2"/>
          </rPr>
          <t>adele de-valera:</t>
        </r>
        <r>
          <rPr>
            <sz val="9"/>
            <color indexed="81"/>
            <rFont val="Tahoma"/>
            <family val="2"/>
          </rPr>
          <t xml:space="preserve">
75 000 expected in junior scientists</t>
        </r>
      </text>
    </comment>
    <comment ref="M4" authorId="0" shapeId="0" xr:uid="{B24F4ECE-2F22-4111-A7A3-413BF4A5434A}">
      <text>
        <r>
          <rPr>
            <b/>
            <sz val="9"/>
            <color indexed="81"/>
            <rFont val="Tahoma"/>
            <family val="2"/>
          </rPr>
          <t>adele de-valera:</t>
        </r>
        <r>
          <rPr>
            <sz val="9"/>
            <color indexed="81"/>
            <rFont val="Tahoma"/>
            <family val="2"/>
          </rPr>
          <t xml:space="preserve">
"Of the two positions, one is filled at HZB since beginning of iSAS, CERN is still working on filling their position"
cf WP1 Padova update
Andrei Maalberg joins iSAS as a PostDoc from Helmholtz-Zentrum Berlin from Sept 2024
Specifically, Dr. Maalberg will strengthen HZB’s contribution to WP2 “Low Level RF controls” and the interface to WP1 “Ferro-Electric Fast Reactive Tuners”.
255 300 expected in junior scientists</t>
        </r>
      </text>
    </comment>
    <comment ref="N4" authorId="0" shapeId="0" xr:uid="{EF185C11-07C5-4D16-8D6C-B56FE3F2F0F8}">
      <text>
        <r>
          <rPr>
            <b/>
            <sz val="9"/>
            <color indexed="81"/>
            <rFont val="Tahoma"/>
            <family val="2"/>
          </rPr>
          <t>adele de-valera:</t>
        </r>
        <r>
          <rPr>
            <sz val="9"/>
            <color indexed="81"/>
            <rFont val="Tahoma"/>
            <family val="2"/>
          </rPr>
          <t xml:space="preserve">
Andrei Maalberg joins iSAS as a PostDoc from Helmholtz-Zentrum Berlin from Sept 2024
Specifically, Dr. Maalberg will strengthen HZB’s contribution to WP2 “Low Level RF controls” and the interface to WP1 “Ferro-Electric Fast Reactive Tuners”.
169 050 expected in junior scientists</t>
        </r>
      </text>
    </comment>
    <comment ref="O4" authorId="0" shapeId="0" xr:uid="{38DC62B5-6A92-4AB6-9484-5AEB2873478A}">
      <text>
        <r>
          <rPr>
            <b/>
            <sz val="9"/>
            <color indexed="81"/>
            <rFont val="Tahoma"/>
            <family val="2"/>
          </rPr>
          <t>adele de-valera:</t>
        </r>
        <r>
          <rPr>
            <sz val="9"/>
            <color indexed="81"/>
            <rFont val="Tahoma"/>
            <family val="2"/>
          </rPr>
          <t xml:space="preserve">
200 100 expected in senior scientists</t>
        </r>
      </text>
    </comment>
    <comment ref="P4" authorId="0" shapeId="0" xr:uid="{C661B725-8BE1-4628-BBAA-EED274F90A18}">
      <text>
        <r>
          <rPr>
            <b/>
            <sz val="9"/>
            <color indexed="81"/>
            <rFont val="Tahoma"/>
            <family val="2"/>
          </rPr>
          <t>adele de-valera:</t>
        </r>
        <r>
          <rPr>
            <sz val="9"/>
            <color indexed="81"/>
            <rFont val="Tahoma"/>
            <family val="2"/>
          </rPr>
          <t xml:space="preserve">
10 000 expected in senior and 
120 000 in junior scientists</t>
        </r>
      </text>
    </comment>
    <comment ref="Q4" authorId="0" shapeId="0" xr:uid="{92D373A4-10B0-452F-A61A-596BA2EBAA11}">
      <text>
        <r>
          <rPr>
            <b/>
            <sz val="9"/>
            <color indexed="81"/>
            <rFont val="Tahoma"/>
            <family val="2"/>
          </rPr>
          <t>adele de-valera:</t>
        </r>
        <r>
          <rPr>
            <sz val="9"/>
            <color indexed="81"/>
            <rFont val="Tahoma"/>
            <family val="2"/>
          </rPr>
          <t xml:space="preserve">
"Postdoctoral to hire at INFN will change the topic (a possible new topic 
‘absorbers’ and not HOM)"
cf WP4 Padova update
120 000 expected in junior scientists</t>
        </r>
      </text>
    </comment>
    <comment ref="R4" authorId="0" shapeId="0" xr:uid="{5D5E8B2F-345E-4451-8453-DBD9E7A10F1C}">
      <text>
        <r>
          <rPr>
            <b/>
            <sz val="9"/>
            <color indexed="81"/>
            <rFont val="Tahoma"/>
            <family val="2"/>
          </rPr>
          <t>adele de-valera:</t>
        </r>
        <r>
          <rPr>
            <sz val="9"/>
            <color indexed="81"/>
            <rFont val="Tahoma"/>
            <family val="2"/>
          </rPr>
          <t xml:space="preserve">
N/A</t>
        </r>
      </text>
    </comment>
    <comment ref="S4" authorId="0" shapeId="0" xr:uid="{7E544F51-C44C-4749-A114-1EE9E290C64E}">
      <text>
        <r>
          <rPr>
            <b/>
            <sz val="9"/>
            <color indexed="81"/>
            <rFont val="Tahoma"/>
            <family val="2"/>
          </rPr>
          <t>adele de-valera:</t>
        </r>
        <r>
          <rPr>
            <sz val="9"/>
            <color indexed="81"/>
            <rFont val="Tahoma"/>
            <family val="2"/>
          </rPr>
          <t xml:space="preserve">
N/A</t>
        </r>
      </text>
    </comment>
    <comment ref="T4" authorId="0" shapeId="0" xr:uid="{F2E63CD1-5E49-4B4C-831E-7A1188A738C9}">
      <text>
        <r>
          <rPr>
            <b/>
            <sz val="9"/>
            <color indexed="81"/>
            <rFont val="Tahoma"/>
            <family val="2"/>
          </rPr>
          <t>adele de-valera:</t>
        </r>
        <r>
          <rPr>
            <sz val="9"/>
            <color indexed="81"/>
            <rFont val="Tahoma"/>
            <family val="2"/>
          </rPr>
          <t xml:space="preserve">
N/A</t>
        </r>
      </text>
    </comment>
    <comment ref="A5" authorId="0" shapeId="0" xr:uid="{5A631EEE-3214-4B3E-A6B4-057FE8649680}">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B5" authorId="0" shapeId="0" xr:uid="{555649DA-0C65-413E-889F-802E300643F9}">
      <text>
        <r>
          <rPr>
            <b/>
            <sz val="9"/>
            <color indexed="81"/>
            <rFont val="Tahoma"/>
            <family val="2"/>
          </rPr>
          <t>adele de-valera:</t>
        </r>
        <r>
          <rPr>
            <sz val="9"/>
            <color indexed="81"/>
            <rFont val="Tahoma"/>
            <family val="2"/>
          </rPr>
          <t xml:space="preserve">
10 000 expected in subcontracting
2 000 expected in travel
15 000 expected in equipment
72 000 expected in consumables</t>
        </r>
      </text>
    </comment>
    <comment ref="C5" authorId="0" shapeId="0" xr:uid="{8A04097B-5384-4C8F-955E-D24FA4A62607}">
      <text>
        <r>
          <rPr>
            <b/>
            <sz val="9"/>
            <color indexed="81"/>
            <rFont val="Tahoma"/>
            <family val="2"/>
          </rPr>
          <t>adele de-valera:</t>
        </r>
        <r>
          <rPr>
            <sz val="9"/>
            <color indexed="81"/>
            <rFont val="Tahoma"/>
            <family val="2"/>
          </rPr>
          <t xml:space="preserve">
2 000 expected in travel
250 000 expected in consumables</t>
        </r>
      </text>
    </comment>
    <comment ref="D5" authorId="0" shapeId="0" xr:uid="{AAEFB005-1DFD-4A11-AFED-34032D45AC76}">
      <text>
        <r>
          <rPr>
            <b/>
            <sz val="9"/>
            <color indexed="81"/>
            <rFont val="Tahoma"/>
            <family val="2"/>
          </rPr>
          <t>adele de-valera:</t>
        </r>
        <r>
          <rPr>
            <sz val="9"/>
            <color indexed="81"/>
            <rFont val="Tahoma"/>
            <family val="2"/>
          </rPr>
          <t xml:space="preserve">
"So far only smaller spendings happened for invest/consumables
…
We still need to make a full funding analysis, which requires input from the lab’s administrations, which takes time"
cf WP1Padova update
50 000 expected in subcontracting 
5 000 expected in travel
13 750 expected in equipment
45 000 expected in consumables</t>
        </r>
      </text>
    </comment>
    <comment ref="E5" authorId="0" shapeId="0" xr:uid="{ADC389A5-7C11-4158-9C22-3E98949C410D}">
      <text>
        <r>
          <rPr>
            <b/>
            <sz val="9"/>
            <color indexed="81"/>
            <rFont val="Tahoma"/>
            <family val="2"/>
          </rPr>
          <t>adele de-valera:</t>
        </r>
        <r>
          <rPr>
            <sz val="9"/>
            <color indexed="81"/>
            <rFont val="Tahoma"/>
            <family val="2"/>
          </rPr>
          <t xml:space="preserve">
"Pending the decision ( PERLE projet – CERN ) to manufacture 4 more Hook 800 
MHz HOM couplers for WP6
...
Evaluation of the cost of manufacturing modified parts of FPC"
cf WP4 Padova update
3 000 expected in travel
228 750 expected in equipment
50 000 expected in consumables</t>
        </r>
      </text>
    </comment>
    <comment ref="F5" authorId="0" shapeId="0" xr:uid="{3316A069-99F2-4593-A40A-40A439204DAE}">
      <text>
        <r>
          <rPr>
            <b/>
            <sz val="9"/>
            <color indexed="81"/>
            <rFont val="Tahoma"/>
            <family val="2"/>
          </rPr>
          <t>adele de-valera:</t>
        </r>
        <r>
          <rPr>
            <sz val="9"/>
            <color indexed="81"/>
            <rFont val="Tahoma"/>
            <family val="2"/>
          </rPr>
          <t xml:space="preserve">
2 000 expected in travel</t>
        </r>
      </text>
    </comment>
    <comment ref="G5" authorId="0" shapeId="0" xr:uid="{C7D6A56C-95E2-4E0E-A6FC-C0F4EB6C3EF0}">
      <text>
        <r>
          <rPr>
            <b/>
            <sz val="9"/>
            <color indexed="81"/>
            <rFont val="Tahoma"/>
            <family val="2"/>
          </rPr>
          <t>adele de-valera:</t>
        </r>
        <r>
          <rPr>
            <sz val="9"/>
            <color indexed="81"/>
            <rFont val="Tahoma"/>
            <family val="2"/>
          </rPr>
          <t xml:space="preserve">
"iSAS Funds engaged by CNRS: purchasing of the Niobium material for 5cell cavities (“few” hundreds of k€)
iSAS + matching funds to be engaged in 2025 by CNRS: purchasing of the 5cell cavities + (if possible) magnetic shields."
cf WP6 Padova update
Référencé comme "équipement ou charge d'amortissement" dans GESLAB
Niobium delivery expected March 2025
Cavities delivery expected end of 2026
cf service des marchés
2 000 expected in travel 
736 000 expected in equipment (debate ongoing whether niobium is to be considered consumable or equipment)</t>
        </r>
      </text>
    </comment>
    <comment ref="H5" authorId="0" shapeId="0" xr:uid="{8A1DFFE8-7A6E-4B1B-9C3B-4A895E2A5E04}">
      <text>
        <r>
          <rPr>
            <b/>
            <sz val="9"/>
            <color indexed="81"/>
            <rFont val="Tahoma"/>
            <family val="2"/>
          </rPr>
          <t>adele de-valera:</t>
        </r>
        <r>
          <rPr>
            <sz val="9"/>
            <color indexed="81"/>
            <rFont val="Tahoma"/>
            <family val="2"/>
          </rPr>
          <t xml:space="preserve">
30 000 expected in travel
5 000 expeted in publication fees</t>
        </r>
      </text>
    </comment>
    <comment ref="I5" authorId="0" shapeId="0" xr:uid="{5E804904-880D-4BA0-9A46-ED1DAB71B31C}">
      <text>
        <r>
          <rPr>
            <b/>
            <sz val="9"/>
            <color indexed="81"/>
            <rFont val="Tahoma"/>
            <family val="2"/>
          </rPr>
          <t>adele de-valera:</t>
        </r>
        <r>
          <rPr>
            <sz val="9"/>
            <color indexed="81"/>
            <rFont val="Tahoma"/>
            <family val="2"/>
          </rPr>
          <t xml:space="preserve">
"Travel funds are starting to be used for Padova meeting, not totalized yet
Other costs not engaged yet (publication fees, shipment, etc.)"
Ventilation prévisionnelle dans GESLAB :
Missions 43 000
Autres coûts 11 000
Detailed budget:
11 000 expected in travel
5 000 expected in publication fees
1 000 expected in others like shipment</t>
        </r>
      </text>
    </comment>
    <comment ref="J5" authorId="0" shapeId="0" xr:uid="{D1179320-7006-457C-9DCD-F66B180AA7E3}">
      <text>
        <r>
          <rPr>
            <b/>
            <sz val="9"/>
            <color indexed="81"/>
            <rFont val="Tahoma"/>
            <family val="2"/>
          </rPr>
          <t>adele de-valera:</t>
        </r>
        <r>
          <rPr>
            <sz val="9"/>
            <color indexed="81"/>
            <rFont val="Tahoma"/>
            <family val="2"/>
          </rPr>
          <t xml:space="preserve">
N/A</t>
        </r>
      </text>
    </comment>
    <comment ref="K5" authorId="0" shapeId="0" xr:uid="{CD9CF76D-189D-4D5A-AEF9-4434022FDC78}">
      <text>
        <r>
          <rPr>
            <b/>
            <sz val="9"/>
            <color indexed="81"/>
            <rFont val="Tahoma"/>
            <family val="2"/>
          </rPr>
          <t>adele de-valera:</t>
        </r>
        <r>
          <rPr>
            <sz val="9"/>
            <color indexed="81"/>
            <rFont val="Tahoma"/>
            <family val="2"/>
          </rPr>
          <t xml:space="preserve">
5 000 expected in others</t>
        </r>
      </text>
    </comment>
    <comment ref="L5" authorId="0" shapeId="0" xr:uid="{96447E91-B9EA-4658-9141-FEF591347835}">
      <text>
        <r>
          <rPr>
            <b/>
            <sz val="9"/>
            <color indexed="81"/>
            <rFont val="Tahoma"/>
            <family val="2"/>
          </rPr>
          <t>adele de-valera:</t>
        </r>
        <r>
          <rPr>
            <sz val="9"/>
            <color indexed="81"/>
            <rFont val="Tahoma"/>
            <family val="2"/>
          </rPr>
          <t xml:space="preserve">
22 000 expected in travel
100 000 expected in consumables</t>
        </r>
      </text>
    </comment>
    <comment ref="M5" authorId="0" shapeId="0" xr:uid="{D15FAF21-9AAE-4F83-B087-88CD8F61D0BD}">
      <text>
        <r>
          <rPr>
            <b/>
            <sz val="9"/>
            <color indexed="81"/>
            <rFont val="Tahoma"/>
            <family val="2"/>
          </rPr>
          <t>adele de-valera:</t>
        </r>
        <r>
          <rPr>
            <sz val="9"/>
            <color indexed="81"/>
            <rFont val="Tahoma"/>
            <family val="2"/>
          </rPr>
          <t xml:space="preserve">
"So far only smaller spendings happened for invest/consumables
…
We still need to make a full funding analysis, which requires input from the lab’s administrations, which takes time"
cf WP1Padova update
16 000 expected in travel
200 000 expected in consumables</t>
        </r>
      </text>
    </comment>
    <comment ref="N5" authorId="0" shapeId="0" xr:uid="{82AFAE86-71BF-4BF3-A1FA-C213D89B4D32}">
      <text>
        <r>
          <rPr>
            <b/>
            <sz val="9"/>
            <color indexed="81"/>
            <rFont val="Tahoma"/>
            <family val="2"/>
          </rPr>
          <t>adele de-valera:</t>
        </r>
        <r>
          <rPr>
            <sz val="9"/>
            <color indexed="81"/>
            <rFont val="Tahoma"/>
            <family val="2"/>
          </rPr>
          <t xml:space="preserve">
N/A</t>
        </r>
      </text>
    </comment>
    <comment ref="O5" authorId="0" shapeId="0" xr:uid="{8174B713-3C1A-4861-9125-96054F968BCC}">
      <text>
        <r>
          <rPr>
            <b/>
            <sz val="9"/>
            <color indexed="81"/>
            <rFont val="Tahoma"/>
            <family val="2"/>
          </rPr>
          <t>adele de-valera:</t>
        </r>
        <r>
          <rPr>
            <sz val="9"/>
            <color indexed="81"/>
            <rFont val="Tahoma"/>
            <family val="2"/>
          </rPr>
          <t xml:space="preserve">
N/A</t>
        </r>
      </text>
    </comment>
    <comment ref="P5" authorId="0" shapeId="0" xr:uid="{C68A2F7F-07F4-4377-93CF-AC1EBBFD398C}">
      <text>
        <r>
          <rPr>
            <b/>
            <sz val="9"/>
            <color indexed="81"/>
            <rFont val="Tahoma"/>
            <family val="2"/>
          </rPr>
          <t>adele de-valera:</t>
        </r>
        <r>
          <rPr>
            <sz val="9"/>
            <color indexed="81"/>
            <rFont val="Tahoma"/>
            <family val="2"/>
          </rPr>
          <t xml:space="preserve">
10 000 expected in travel
60 000 expected in consumables</t>
        </r>
      </text>
    </comment>
    <comment ref="Q5" authorId="0" shapeId="0" xr:uid="{F3CA1A64-E729-45A0-AD03-63CF1CF07F34}">
      <text>
        <r>
          <rPr>
            <b/>
            <sz val="9"/>
            <color indexed="81"/>
            <rFont val="Tahoma"/>
            <family val="2"/>
          </rPr>
          <t>adele de-valera:</t>
        </r>
        <r>
          <rPr>
            <sz val="9"/>
            <color indexed="81"/>
            <rFont val="Tahoma"/>
            <family val="2"/>
          </rPr>
          <t xml:space="preserve">
3 000 expected in travel</t>
        </r>
      </text>
    </comment>
    <comment ref="R5" authorId="0" shapeId="0" xr:uid="{D92B2BD5-F55A-40E9-9579-3B8FC710814B}">
      <text>
        <r>
          <rPr>
            <b/>
            <sz val="9"/>
            <color indexed="81"/>
            <rFont val="Tahoma"/>
            <family val="2"/>
          </rPr>
          <t>adele de-valera:</t>
        </r>
        <r>
          <rPr>
            <sz val="9"/>
            <color indexed="81"/>
            <rFont val="Tahoma"/>
            <family val="2"/>
          </rPr>
          <t xml:space="preserve">
2 000 expected in travel
104 000 expected in consumables</t>
        </r>
      </text>
    </comment>
    <comment ref="S5" authorId="0" shapeId="0" xr:uid="{ADB61BA7-A725-49E5-850B-BD8CF7BEF5A3}">
      <text>
        <r>
          <rPr>
            <b/>
            <sz val="9"/>
            <color indexed="81"/>
            <rFont val="Tahoma"/>
            <family val="2"/>
          </rPr>
          <t>adele de-valera:</t>
        </r>
        <r>
          <rPr>
            <sz val="9"/>
            <color indexed="81"/>
            <rFont val="Tahoma"/>
            <family val="2"/>
          </rPr>
          <t xml:space="preserve">
"from 32 000: approximately less than10k€ allocated for organizing LNL Workshop (not definitive)
from 2 000: video editing for dissemination activities
from 6 000: fully allocated"
cf WP6 Padova update
2000 expected in subcontracting
32000 expected in travel
6000 allocated in services for dissemination activities (website)</t>
        </r>
      </text>
    </comment>
    <comment ref="T5" authorId="0" shapeId="0" xr:uid="{A7A87236-75A6-4217-B291-AAB4D9638F70}">
      <text>
        <r>
          <rPr>
            <b/>
            <sz val="9"/>
            <color indexed="81"/>
            <rFont val="Tahoma"/>
            <family val="2"/>
          </rPr>
          <t>adele de-valera:</t>
        </r>
        <r>
          <rPr>
            <sz val="9"/>
            <color indexed="81"/>
            <rFont val="Tahoma"/>
            <family val="2"/>
          </rPr>
          <t xml:space="preserve">
"Travel funds used for Kick-off &amp; Padova meetings, less than 5k€
16 000 € for travel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adele de-valera</author>
  </authors>
  <commentList>
    <comment ref="B4" authorId="0" shapeId="0" xr:uid="{28539E59-6D7D-4020-87EC-9BC43B768BE0}">
      <text>
        <r>
          <rPr>
            <b/>
            <sz val="9"/>
            <color indexed="81"/>
            <rFont val="Tahoma"/>
            <family val="2"/>
          </rPr>
          <t>adele de-valera:</t>
        </r>
        <r>
          <rPr>
            <sz val="9"/>
            <color indexed="81"/>
            <rFont val="Tahoma"/>
            <family val="2"/>
          </rPr>
          <t xml:space="preserve">
N/A</t>
        </r>
      </text>
    </comment>
    <comment ref="C4" authorId="0" shapeId="0" xr:uid="{18773193-690B-4241-98EC-4C9C0428358C}">
      <text>
        <r>
          <rPr>
            <b/>
            <sz val="9"/>
            <color indexed="81"/>
            <rFont val="Tahoma"/>
            <family val="2"/>
          </rPr>
          <t>adele de-valera:</t>
        </r>
        <r>
          <rPr>
            <sz val="9"/>
            <color indexed="81"/>
            <rFont val="Tahoma"/>
            <family val="2"/>
          </rPr>
          <t xml:space="preserve">
N/A</t>
        </r>
      </text>
    </comment>
    <comment ref="F4" authorId="0" shapeId="0" xr:uid="{2B3195EB-90B6-468A-9350-F03D27B92359}">
      <text>
        <r>
          <rPr>
            <b/>
            <sz val="9"/>
            <color indexed="81"/>
            <rFont val="Tahoma"/>
            <family val="2"/>
          </rPr>
          <t>adele de-valera:</t>
        </r>
        <r>
          <rPr>
            <sz val="9"/>
            <color indexed="81"/>
            <rFont val="Tahoma"/>
            <family val="2"/>
          </rPr>
          <t xml:space="preserve">
N/A</t>
        </r>
      </text>
    </comment>
    <comment ref="G4" authorId="0" shapeId="0" xr:uid="{85EA209D-A221-431F-8F8B-D292DDAFC009}">
      <text>
        <r>
          <rPr>
            <b/>
            <sz val="9"/>
            <color indexed="81"/>
            <rFont val="Tahoma"/>
            <family val="2"/>
          </rPr>
          <t>adele de-valera:</t>
        </r>
        <r>
          <rPr>
            <sz val="9"/>
            <color indexed="81"/>
            <rFont val="Tahoma"/>
            <family val="2"/>
          </rPr>
          <t xml:space="preserve">
N/A</t>
        </r>
      </text>
    </comment>
    <comment ref="H4" authorId="0" shapeId="0" xr:uid="{98E6A7D8-00AA-4C6F-87B3-BD9CD24F1903}">
      <text>
        <r>
          <rPr>
            <b/>
            <sz val="9"/>
            <color indexed="81"/>
            <rFont val="Tahoma"/>
            <family val="2"/>
          </rPr>
          <t>adele de-valera:</t>
        </r>
        <r>
          <rPr>
            <sz val="9"/>
            <color indexed="81"/>
            <rFont val="Tahoma"/>
            <family val="2"/>
          </rPr>
          <t xml:space="preserve">
N/A</t>
        </r>
      </text>
    </comment>
    <comment ref="R4" authorId="0" shapeId="0" xr:uid="{2752596D-5139-4759-B051-0AB627A00112}">
      <text>
        <r>
          <rPr>
            <b/>
            <sz val="9"/>
            <color indexed="81"/>
            <rFont val="Tahoma"/>
            <family val="2"/>
          </rPr>
          <t>adele de-valera:</t>
        </r>
        <r>
          <rPr>
            <sz val="9"/>
            <color indexed="81"/>
            <rFont val="Tahoma"/>
            <family val="2"/>
          </rPr>
          <t xml:space="preserve">
N/A</t>
        </r>
      </text>
    </comment>
    <comment ref="S4" authorId="0" shapeId="0" xr:uid="{1A129032-ADE3-45A3-B81E-590EFCF7FF44}">
      <text>
        <r>
          <rPr>
            <b/>
            <sz val="9"/>
            <color indexed="81"/>
            <rFont val="Tahoma"/>
            <family val="2"/>
          </rPr>
          <t>adele de-valera:</t>
        </r>
        <r>
          <rPr>
            <sz val="9"/>
            <color indexed="81"/>
            <rFont val="Tahoma"/>
            <family val="2"/>
          </rPr>
          <t xml:space="preserve">
N/A</t>
        </r>
      </text>
    </comment>
    <comment ref="T4" authorId="0" shapeId="0" xr:uid="{AC4102BC-B3D7-49C5-9E0A-B7531E781E57}">
      <text>
        <r>
          <rPr>
            <b/>
            <sz val="9"/>
            <color indexed="81"/>
            <rFont val="Tahoma"/>
            <family val="2"/>
          </rPr>
          <t>adele de-valera:</t>
        </r>
        <r>
          <rPr>
            <sz val="9"/>
            <color indexed="81"/>
            <rFont val="Tahoma"/>
            <family val="2"/>
          </rPr>
          <t xml:space="preserve">
N/A</t>
        </r>
      </text>
    </comment>
    <comment ref="A5" authorId="0" shapeId="0" xr:uid="{CEBE1383-8439-4A83-BE3C-F927FD88C711}">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J5" authorId="0" shapeId="0" xr:uid="{7D3C2112-CA95-47AF-8797-C69552803D2A}">
      <text>
        <r>
          <rPr>
            <b/>
            <sz val="9"/>
            <color indexed="81"/>
            <rFont val="Tahoma"/>
            <family val="2"/>
          </rPr>
          <t>adele de-valera:</t>
        </r>
        <r>
          <rPr>
            <sz val="9"/>
            <color indexed="81"/>
            <rFont val="Tahoma"/>
            <family val="2"/>
          </rPr>
          <t xml:space="preserve">
N/A</t>
        </r>
      </text>
    </comment>
    <comment ref="N5" authorId="0" shapeId="0" xr:uid="{2A3D1A27-C625-4309-824C-4982905DBC83}">
      <text>
        <r>
          <rPr>
            <b/>
            <sz val="9"/>
            <color indexed="81"/>
            <rFont val="Tahoma"/>
            <family val="2"/>
          </rPr>
          <t>adele de-valera:</t>
        </r>
        <r>
          <rPr>
            <sz val="9"/>
            <color indexed="81"/>
            <rFont val="Tahoma"/>
            <family val="2"/>
          </rPr>
          <t xml:space="preserve">
N/A</t>
        </r>
      </text>
    </comment>
    <comment ref="O5" authorId="0" shapeId="0" xr:uid="{E8DDD9DA-CE08-4623-802B-05A852AF835F}">
      <text>
        <r>
          <rPr>
            <b/>
            <sz val="9"/>
            <color indexed="81"/>
            <rFont val="Tahoma"/>
            <family val="2"/>
          </rPr>
          <t>adele de-valera:</t>
        </r>
        <r>
          <rPr>
            <sz val="9"/>
            <color indexed="81"/>
            <rFont val="Tahoma"/>
            <family val="2"/>
          </rPr>
          <t xml:space="preserve">
N/A</t>
        </r>
      </text>
    </comment>
    <comment ref="B14" authorId="0" shapeId="0" xr:uid="{D1CD2F6B-FCBD-496F-AD5C-7BED882F5B2B}">
      <text>
        <r>
          <rPr>
            <b/>
            <sz val="9"/>
            <color indexed="81"/>
            <rFont val="Tahoma"/>
            <family val="2"/>
          </rPr>
          <t>adele de-valera:</t>
        </r>
        <r>
          <rPr>
            <sz val="9"/>
            <color indexed="81"/>
            <rFont val="Tahoma"/>
            <family val="2"/>
          </rPr>
          <t xml:space="preserve">
N/A</t>
        </r>
      </text>
    </comment>
    <comment ref="C14" authorId="0" shapeId="0" xr:uid="{1886CDC9-994B-43EB-A8CE-288A85661A3F}">
      <text>
        <r>
          <rPr>
            <b/>
            <sz val="9"/>
            <color indexed="81"/>
            <rFont val="Tahoma"/>
            <family val="2"/>
          </rPr>
          <t>adele de-valera:</t>
        </r>
        <r>
          <rPr>
            <sz val="9"/>
            <color indexed="81"/>
            <rFont val="Tahoma"/>
            <family val="2"/>
          </rPr>
          <t xml:space="preserve">
N/A</t>
        </r>
      </text>
    </comment>
    <comment ref="F14" authorId="0" shapeId="0" xr:uid="{71EFB216-45B4-41A6-911E-674C86DEDD5A}">
      <text>
        <r>
          <rPr>
            <b/>
            <sz val="9"/>
            <color indexed="81"/>
            <rFont val="Tahoma"/>
            <family val="2"/>
          </rPr>
          <t>adele de-valera:</t>
        </r>
        <r>
          <rPr>
            <sz val="9"/>
            <color indexed="81"/>
            <rFont val="Tahoma"/>
            <family val="2"/>
          </rPr>
          <t xml:space="preserve">
N/A</t>
        </r>
      </text>
    </comment>
    <comment ref="G14" authorId="0" shapeId="0" xr:uid="{39BA5049-7D1B-49C4-9491-3391224547DA}">
      <text>
        <r>
          <rPr>
            <b/>
            <sz val="9"/>
            <color indexed="81"/>
            <rFont val="Tahoma"/>
            <family val="2"/>
          </rPr>
          <t>adele de-valera:</t>
        </r>
        <r>
          <rPr>
            <sz val="9"/>
            <color indexed="81"/>
            <rFont val="Tahoma"/>
            <family val="2"/>
          </rPr>
          <t xml:space="preserve">
N/A</t>
        </r>
      </text>
    </comment>
    <comment ref="H14" authorId="0" shapeId="0" xr:uid="{FD11D4B0-4828-4337-90E9-CE1540ED3D88}">
      <text>
        <r>
          <rPr>
            <b/>
            <sz val="9"/>
            <color indexed="81"/>
            <rFont val="Tahoma"/>
            <family val="2"/>
          </rPr>
          <t>adele de-valera:</t>
        </r>
        <r>
          <rPr>
            <sz val="9"/>
            <color indexed="81"/>
            <rFont val="Tahoma"/>
            <family val="2"/>
          </rPr>
          <t xml:space="preserve">
N/A</t>
        </r>
      </text>
    </comment>
    <comment ref="R14" authorId="0" shapeId="0" xr:uid="{F00F3FCE-08EE-4D10-9AA4-3098E17CF7EE}">
      <text>
        <r>
          <rPr>
            <b/>
            <sz val="9"/>
            <color indexed="81"/>
            <rFont val="Tahoma"/>
            <family val="2"/>
          </rPr>
          <t>adele de-valera:</t>
        </r>
        <r>
          <rPr>
            <sz val="9"/>
            <color indexed="81"/>
            <rFont val="Tahoma"/>
            <family val="2"/>
          </rPr>
          <t xml:space="preserve">
N/A</t>
        </r>
      </text>
    </comment>
    <comment ref="S14" authorId="0" shapeId="0" xr:uid="{FCEF2ECB-26EE-43FD-A168-1FF0B9B66A86}">
      <text>
        <r>
          <rPr>
            <b/>
            <sz val="9"/>
            <color indexed="81"/>
            <rFont val="Tahoma"/>
            <family val="2"/>
          </rPr>
          <t>adele de-valera:</t>
        </r>
        <r>
          <rPr>
            <sz val="9"/>
            <color indexed="81"/>
            <rFont val="Tahoma"/>
            <family val="2"/>
          </rPr>
          <t xml:space="preserve">
N/A</t>
        </r>
      </text>
    </comment>
    <comment ref="T14" authorId="0" shapeId="0" xr:uid="{13B70AAC-A2F4-4FED-8F1C-A01E8331FE7C}">
      <text>
        <r>
          <rPr>
            <b/>
            <sz val="9"/>
            <color indexed="81"/>
            <rFont val="Tahoma"/>
            <family val="2"/>
          </rPr>
          <t>adele de-valera:</t>
        </r>
        <r>
          <rPr>
            <sz val="9"/>
            <color indexed="81"/>
            <rFont val="Tahoma"/>
            <family val="2"/>
          </rPr>
          <t xml:space="preserve">
N/A</t>
        </r>
      </text>
    </comment>
    <comment ref="A15" authorId="0" shapeId="0" xr:uid="{15E3734C-9B97-44AD-967F-3439ADF88D4A}">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J15" authorId="0" shapeId="0" xr:uid="{1B621C24-9D31-49CC-9A25-DAD2813C83DD}">
      <text>
        <r>
          <rPr>
            <b/>
            <sz val="9"/>
            <color indexed="81"/>
            <rFont val="Tahoma"/>
            <family val="2"/>
          </rPr>
          <t>adele de-valera:</t>
        </r>
        <r>
          <rPr>
            <sz val="9"/>
            <color indexed="81"/>
            <rFont val="Tahoma"/>
            <family val="2"/>
          </rPr>
          <t xml:space="preserve">
N/A</t>
        </r>
      </text>
    </comment>
    <comment ref="N15" authorId="0" shapeId="0" xr:uid="{7DCFFA58-B129-43DE-8EAF-F0EB0BF2CE1E}">
      <text>
        <r>
          <rPr>
            <b/>
            <sz val="9"/>
            <color indexed="81"/>
            <rFont val="Tahoma"/>
            <family val="2"/>
          </rPr>
          <t>adele de-valera:</t>
        </r>
        <r>
          <rPr>
            <sz val="9"/>
            <color indexed="81"/>
            <rFont val="Tahoma"/>
            <family val="2"/>
          </rPr>
          <t xml:space="preserve">
N/A</t>
        </r>
      </text>
    </comment>
    <comment ref="O15" authorId="0" shapeId="0" xr:uid="{1750BCE8-CF70-4F9F-8DF5-F9BAA8DF116E}">
      <text>
        <r>
          <rPr>
            <b/>
            <sz val="9"/>
            <color indexed="81"/>
            <rFont val="Tahoma"/>
            <family val="2"/>
          </rPr>
          <t>adele de-valera:</t>
        </r>
        <r>
          <rPr>
            <sz val="9"/>
            <color indexed="81"/>
            <rFont val="Tahoma"/>
            <family val="2"/>
          </rPr>
          <t xml:space="preserve">
N/A</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adele de-valera</author>
  </authors>
  <commentList>
    <comment ref="B4" authorId="0" shapeId="0" xr:uid="{DCD53DAD-A1C9-4296-8830-D645E1E896AE}">
      <text>
        <r>
          <rPr>
            <b/>
            <sz val="9"/>
            <color indexed="81"/>
            <rFont val="Tahoma"/>
            <family val="2"/>
          </rPr>
          <t>adele de-valera:</t>
        </r>
        <r>
          <rPr>
            <sz val="9"/>
            <color indexed="81"/>
            <rFont val="Tahoma"/>
            <family val="2"/>
          </rPr>
          <t xml:space="preserve">
"there might be more in kind budget needed at HZB to prepare cavities for the FE-FRT tests"
cf WP1 Padova update</t>
        </r>
      </text>
    </comment>
    <comment ref="F4" authorId="0" shapeId="0" xr:uid="{72877381-F528-4DF0-85A0-1B4F89E49EDD}">
      <text>
        <r>
          <rPr>
            <b/>
            <sz val="9"/>
            <color indexed="81"/>
            <rFont val="Tahoma"/>
            <family val="2"/>
          </rPr>
          <t>adele de-valera:</t>
        </r>
        <r>
          <rPr>
            <sz val="9"/>
            <color indexed="81"/>
            <rFont val="Tahoma"/>
            <family val="2"/>
          </rPr>
          <t xml:space="preserve">
N/A</t>
        </r>
      </text>
    </comment>
    <comment ref="H4" authorId="0" shapeId="0" xr:uid="{467078D5-FA1C-4028-BBCF-574E80B63881}">
      <text>
        <r>
          <rPr>
            <b/>
            <sz val="9"/>
            <color indexed="81"/>
            <rFont val="Tahoma"/>
            <family val="2"/>
          </rPr>
          <t>adele de-valera:</t>
        </r>
        <r>
          <rPr>
            <sz val="9"/>
            <color indexed="81"/>
            <rFont val="Tahoma"/>
            <family val="2"/>
          </rPr>
          <t xml:space="preserve">
N/A</t>
        </r>
      </text>
    </comment>
    <comment ref="I4" authorId="0" shapeId="0" xr:uid="{6C68972E-DB44-41E3-87E8-CA7F7ECA69BC}">
      <text>
        <r>
          <rPr>
            <b/>
            <sz val="9"/>
            <color indexed="81"/>
            <rFont val="Tahoma"/>
            <family val="2"/>
          </rPr>
          <t>adele de-valera:</t>
        </r>
        <r>
          <rPr>
            <sz val="9"/>
            <color indexed="81"/>
            <rFont val="Tahoma"/>
            <family val="2"/>
          </rPr>
          <t xml:space="preserve">
N/A
</t>
        </r>
      </text>
    </comment>
    <comment ref="J4" authorId="0" shapeId="0" xr:uid="{9C799DE3-3423-4D74-9811-5EF5488BAF69}">
      <text>
        <r>
          <rPr>
            <b/>
            <sz val="9"/>
            <color indexed="81"/>
            <rFont val="Tahoma"/>
            <family val="2"/>
          </rPr>
          <t>adele de-valera:</t>
        </r>
        <r>
          <rPr>
            <sz val="9"/>
            <color indexed="81"/>
            <rFont val="Tahoma"/>
            <family val="2"/>
          </rPr>
          <t xml:space="preserve">
N/A</t>
        </r>
      </text>
    </comment>
    <comment ref="A6" authorId="0" shapeId="0" xr:uid="{77FFBC6F-747D-41E0-8370-5B632B4BA39B}">
      <text>
        <r>
          <rPr>
            <b/>
            <sz val="9"/>
            <color indexed="81"/>
            <rFont val="Tahoma"/>
            <family val="2"/>
          </rPr>
          <t>adele de-valera:</t>
        </r>
        <r>
          <rPr>
            <sz val="9"/>
            <color indexed="81"/>
            <rFont val="Tahoma"/>
            <family val="2"/>
          </rPr>
          <t xml:space="preserve">
subtotal of direct costs </t>
        </r>
      </text>
    </comment>
    <comment ref="A7" authorId="0" shapeId="0" xr:uid="{3F06E5FD-4BF9-42BF-AD35-C2135D382864}">
      <text>
        <r>
          <rPr>
            <b/>
            <sz val="9"/>
            <color indexed="81"/>
            <rFont val="Tahoma"/>
            <family val="2"/>
          </rPr>
          <t>adele de-valera:</t>
        </r>
        <r>
          <rPr>
            <sz val="9"/>
            <color indexed="81"/>
            <rFont val="Tahoma"/>
            <family val="2"/>
          </rPr>
          <t xml:space="preserve">
ls direct costs + mf
</t>
        </r>
      </text>
    </comment>
    <comment ref="A8" authorId="0" shapeId="0" xr:uid="{ABB6128F-21A5-4006-9BF9-3DA6F331D09C}">
      <text>
        <r>
          <rPr>
            <b/>
            <sz val="9"/>
            <color indexed="81"/>
            <rFont val="Tahoma"/>
            <family val="2"/>
          </rPr>
          <t>adele de-valera:</t>
        </r>
        <r>
          <rPr>
            <sz val="9"/>
            <color indexed="81"/>
            <rFont val="Tahoma"/>
            <family val="2"/>
          </rPr>
          <t xml:space="preserve">
from budget in annex 2 GA p132</t>
        </r>
      </text>
    </comment>
    <comment ref="D8" authorId="0" shapeId="0" xr:uid="{6F7FF3FA-EC22-4987-AC36-821EF207B3B2}">
      <text>
        <r>
          <rPr>
            <b/>
            <sz val="9"/>
            <color indexed="81"/>
            <rFont val="Tahoma"/>
            <family val="2"/>
          </rPr>
          <t>adele de-valera:</t>
        </r>
        <r>
          <rPr>
            <sz val="9"/>
            <color indexed="81"/>
            <rFont val="Tahoma"/>
            <family val="2"/>
          </rPr>
          <t xml:space="preserve">
reduced of 250 025 from 871 000 in proposal</t>
        </r>
      </text>
    </comment>
    <comment ref="G8" authorId="0" shapeId="0" xr:uid="{7B7EF1D4-176D-414E-9A80-35F1F49BCA87}">
      <text>
        <r>
          <rPr>
            <b/>
            <sz val="9"/>
            <color indexed="81"/>
            <rFont val="Tahoma"/>
            <family val="2"/>
          </rPr>
          <t>adele de-valera:</t>
        </r>
        <r>
          <rPr>
            <sz val="9"/>
            <color indexed="81"/>
            <rFont val="Tahoma"/>
            <family val="2"/>
          </rPr>
          <t xml:space="preserve">
reduced of 88 850 from 1 705 100 in proposal</t>
        </r>
      </text>
    </comment>
    <comment ref="K8" authorId="0" shapeId="0" xr:uid="{67410EE2-9A33-4D75-B785-E07E1C81C827}">
      <text>
        <r>
          <rPr>
            <b/>
            <sz val="9"/>
            <color indexed="81"/>
            <rFont val="Tahoma"/>
            <family val="2"/>
          </rPr>
          <t>adele de-valera:</t>
        </r>
        <r>
          <rPr>
            <sz val="9"/>
            <color indexed="81"/>
            <rFont val="Tahoma"/>
            <family val="2"/>
          </rPr>
          <t xml:space="preserve">
reduced from 4 999 000 in proposal</t>
        </r>
      </text>
    </comment>
    <comment ref="A9" authorId="0" shapeId="0" xr:uid="{C4468DA4-E145-457B-8407-6AF5C9865BDE}">
      <text>
        <r>
          <rPr>
            <b/>
            <sz val="9"/>
            <color indexed="81"/>
            <rFont val="Tahoma"/>
            <family val="2"/>
          </rPr>
          <t>adele de-valera:</t>
        </r>
        <r>
          <rPr>
            <sz val="9"/>
            <color indexed="81"/>
            <rFont val="Tahoma"/>
            <family val="2"/>
          </rPr>
          <t xml:space="preserve">
subtotal matching funds (mf) + total lump sum (ls) grant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adele de-valera</author>
  </authors>
  <commentList>
    <comment ref="A7" authorId="0" shapeId="0" xr:uid="{DF01556D-2EF9-464E-BAD7-1FD12C0E96A1}">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F7" authorId="0" shapeId="0" xr:uid="{8E18D85F-1E5F-4C27-BD3B-D5327A749D51}">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K7" authorId="0" shapeId="0" xr:uid="{912967BB-0C37-4E2B-AB1E-7083846E0EDE}">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 ref="K15" authorId="0" shapeId="0" xr:uid="{BE726C84-D20D-4375-AFE9-317F4014F6EB}">
      <text>
        <r>
          <rPr>
            <b/>
            <sz val="9"/>
            <color indexed="81"/>
            <rFont val="Tahoma"/>
            <family val="2"/>
          </rPr>
          <t>adele de-valera:</t>
        </r>
        <r>
          <rPr>
            <sz val="9"/>
            <color indexed="81"/>
            <rFont val="Tahoma"/>
            <family val="2"/>
          </rPr>
          <t xml:space="preserve">
Institutes in </t>
        </r>
        <r>
          <rPr>
            <b/>
            <sz val="9"/>
            <color indexed="81"/>
            <rFont val="Tahoma"/>
            <family val="2"/>
          </rPr>
          <t>bold</t>
        </r>
        <r>
          <rPr>
            <sz val="9"/>
            <color indexed="81"/>
            <rFont val="Tahoma"/>
            <family val="2"/>
          </rPr>
          <t xml:space="preserve"> if equipment involved
Institutes in </t>
        </r>
        <r>
          <rPr>
            <i/>
            <sz val="9"/>
            <color indexed="81"/>
            <rFont val="Tahoma"/>
            <family val="2"/>
          </rPr>
          <t>italics</t>
        </r>
        <r>
          <rPr>
            <sz val="9"/>
            <color indexed="81"/>
            <rFont val="Tahoma"/>
            <family val="2"/>
          </rPr>
          <t xml:space="preserve"> if consumables involved
</t>
        </r>
        <r>
          <rPr>
            <b/>
            <i/>
            <sz val="9"/>
            <color indexed="81"/>
            <rFont val="Tahoma"/>
            <family val="2"/>
          </rPr>
          <t>both</t>
        </r>
        <r>
          <rPr>
            <sz val="9"/>
            <color indexed="81"/>
            <rFont val="Tahoma"/>
            <family val="2"/>
          </rPr>
          <t xml:space="preserve"> if both equipment &amp; consumables are invoved</t>
        </r>
      </text>
    </comment>
  </commentList>
</comments>
</file>

<file path=xl/sharedStrings.xml><?xml version="1.0" encoding="utf-8"?>
<sst xmlns="http://schemas.openxmlformats.org/spreadsheetml/2006/main" count="400" uniqueCount="60">
  <si>
    <t>WP1</t>
  </si>
  <si>
    <t>WP2</t>
  </si>
  <si>
    <t>WP3</t>
  </si>
  <si>
    <t>WP4</t>
  </si>
  <si>
    <t>WP6</t>
  </si>
  <si>
    <t>WP7</t>
  </si>
  <si>
    <t>WP8</t>
  </si>
  <si>
    <t>WP9</t>
  </si>
  <si>
    <t>WP5</t>
  </si>
  <si>
    <t>Total</t>
  </si>
  <si>
    <t>No</t>
  </si>
  <si>
    <t>INFN</t>
  </si>
  <si>
    <t>CERN</t>
  </si>
  <si>
    <t>HZB</t>
  </si>
  <si>
    <t>DESY</t>
  </si>
  <si>
    <t>CEA</t>
  </si>
  <si>
    <t>ESS</t>
  </si>
  <si>
    <t>CNRS</t>
  </si>
  <si>
    <t>Deviation (yet)?</t>
  </si>
  <si>
    <t>No, but</t>
  </si>
  <si>
    <t>AMD impact?</t>
  </si>
  <si>
    <t>Grant (max)</t>
  </si>
  <si>
    <t>Staff</t>
  </si>
  <si>
    <t>Other expenses</t>
  </si>
  <si>
    <t>Indirect costs 25%</t>
  </si>
  <si>
    <t>Total /WP</t>
  </si>
  <si>
    <t>Subtotal/WP</t>
  </si>
  <si>
    <t xml:space="preserve">Subtotal/institute </t>
  </si>
  <si>
    <t>Subtotal/institute/WP</t>
  </si>
  <si>
    <t>Subtotal/WP/institute</t>
  </si>
  <si>
    <t>Total /institute</t>
  </si>
  <si>
    <t>Matching personnel</t>
  </si>
  <si>
    <t>Matching materials</t>
  </si>
  <si>
    <t>Subtotal mf/WP</t>
  </si>
  <si>
    <t>Subtotal ls/WP</t>
  </si>
  <si>
    <t xml:space="preserve">Total lump sum grant </t>
  </si>
  <si>
    <t xml:space="preserve">Total budget </t>
  </si>
  <si>
    <t xml:space="preserve">Subtotal /WP </t>
  </si>
  <si>
    <t>% ls/total budget</t>
  </si>
  <si>
    <t>Initial prefinancing</t>
  </si>
  <si>
    <t>Mutual Insurance Mechanism</t>
  </si>
  <si>
    <t>Initial prefinancing received</t>
  </si>
  <si>
    <t>Funds engaged to date</t>
  </si>
  <si>
    <t>No, maybe not spent enough?</t>
  </si>
  <si>
    <t>VUB</t>
  </si>
  <si>
    <t>in €</t>
  </si>
  <si>
    <t>in %</t>
  </si>
  <si>
    <t>expeses /inst</t>
  </si>
  <si>
    <t>UKRI</t>
  </si>
  <si>
    <t>EPFL</t>
  </si>
  <si>
    <t>Expected</t>
  </si>
  <si>
    <t>Expenses</t>
  </si>
  <si>
    <t>Deviations</t>
  </si>
  <si>
    <t>Matching funds</t>
  </si>
  <si>
    <t>Subtotal</t>
  </si>
  <si>
    <t xml:space="preserve">Total </t>
  </si>
  <si>
    <t xml:space="preserve">Subtotal </t>
  </si>
  <si>
    <t xml:space="preserve">Total grant </t>
  </si>
  <si>
    <t>% funds/total budget</t>
  </si>
  <si>
    <t xml:space="preserve">Indirect costs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</si>
</sst>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0\ &quot;€&quot;"/>
  </numFmts>
  <fonts count="17" x14ac:knownFonts="1">
    <font>
      <sz val="11"/>
      <color theme="1"/>
      <name val="Calibri"/>
      <family val="2"/>
      <scheme val="minor"/>
    </font>
    <font>
      <b/>
      <sz val="11"/>
      <color theme="1"/>
      <name val="Calibri"/>
      <family val="2"/>
      <scheme val="minor"/>
    </font>
    <font>
      <sz val="10"/>
      <color theme="1"/>
      <name val="Calibri"/>
      <family val="2"/>
      <scheme val="minor"/>
    </font>
    <font>
      <sz val="10"/>
      <name val="Calibri"/>
      <family val="2"/>
      <scheme val="minor"/>
    </font>
    <font>
      <sz val="10"/>
      <color theme="0"/>
      <name val="Calibri"/>
      <family val="2"/>
      <scheme val="minor"/>
    </font>
    <font>
      <b/>
      <sz val="10"/>
      <name val="Calibri"/>
      <family val="2"/>
      <scheme val="minor"/>
    </font>
    <font>
      <b/>
      <sz val="10"/>
      <color theme="0"/>
      <name val="Calibri"/>
      <family val="2"/>
      <scheme val="minor"/>
    </font>
    <font>
      <sz val="9"/>
      <color indexed="81"/>
      <name val="Tahoma"/>
      <family val="2"/>
    </font>
    <font>
      <b/>
      <sz val="9"/>
      <color indexed="81"/>
      <name val="Tahoma"/>
      <family val="2"/>
    </font>
    <font>
      <i/>
      <sz val="10"/>
      <color theme="1"/>
      <name val="Calibri"/>
      <family val="2"/>
      <scheme val="minor"/>
    </font>
    <font>
      <b/>
      <i/>
      <sz val="10"/>
      <color theme="1"/>
      <name val="Calibri"/>
      <family val="2"/>
      <scheme val="minor"/>
    </font>
    <font>
      <i/>
      <sz val="10"/>
      <name val="Calibri"/>
      <family val="2"/>
      <scheme val="minor"/>
    </font>
    <font>
      <i/>
      <sz val="9"/>
      <color indexed="81"/>
      <name val="Tahoma"/>
      <family val="2"/>
    </font>
    <font>
      <b/>
      <i/>
      <sz val="9"/>
      <color indexed="81"/>
      <name val="Tahoma"/>
      <family val="2"/>
    </font>
    <font>
      <sz val="11"/>
      <color theme="1"/>
      <name val="Calibri"/>
      <family val="2"/>
      <scheme val="minor"/>
    </font>
    <font>
      <sz val="11"/>
      <color theme="0"/>
      <name val="Calibri"/>
      <family val="2"/>
      <scheme val="minor"/>
    </font>
    <font>
      <b/>
      <sz val="10"/>
      <color theme="1"/>
      <name val="Calibri"/>
      <family val="2"/>
      <scheme val="minor"/>
    </font>
  </fonts>
  <fills count="21">
    <fill>
      <patternFill patternType="none"/>
    </fill>
    <fill>
      <patternFill patternType="gray125"/>
    </fill>
    <fill>
      <patternFill patternType="solid">
        <fgColor rgb="FFB6ECC2"/>
        <bgColor indexed="64"/>
      </patternFill>
    </fill>
    <fill>
      <patternFill patternType="solid">
        <fgColor rgb="FF78E29E"/>
        <bgColor indexed="64"/>
      </patternFill>
    </fill>
    <fill>
      <patternFill patternType="solid">
        <fgColor rgb="FF00CC99"/>
        <bgColor indexed="64"/>
      </patternFill>
    </fill>
    <fill>
      <patternFill patternType="solid">
        <fgColor rgb="FF239983"/>
        <bgColor indexed="64"/>
      </patternFill>
    </fill>
    <fill>
      <patternFill patternType="solid">
        <fgColor rgb="FF24944C"/>
        <bgColor indexed="64"/>
      </patternFill>
    </fill>
    <fill>
      <patternFill patternType="solid">
        <fgColor rgb="FF00B050"/>
        <bgColor indexed="64"/>
      </patternFill>
    </fill>
    <fill>
      <patternFill patternType="solid">
        <fgColor rgb="FF00CC66"/>
        <bgColor indexed="64"/>
      </patternFill>
    </fill>
    <fill>
      <patternFill patternType="solid">
        <fgColor rgb="FF92D975"/>
        <bgColor indexed="64"/>
      </patternFill>
    </fill>
    <fill>
      <patternFill patternType="solid">
        <fgColor rgb="FFB1EF95"/>
        <bgColor indexed="64"/>
      </patternFill>
    </fill>
    <fill>
      <patternFill patternType="solid">
        <fgColor theme="7" tint="0.39997558519241921"/>
        <bgColor indexed="64"/>
      </patternFill>
    </fill>
    <fill>
      <patternFill patternType="solid">
        <fgColor theme="7"/>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4" tint="-0.249977111117893"/>
        <bgColor indexed="64"/>
      </patternFill>
    </fill>
    <fill>
      <patternFill patternType="solid">
        <fgColor theme="4"/>
        <bgColor indexed="64"/>
      </patternFill>
    </fill>
    <fill>
      <patternFill patternType="solid">
        <fgColor rgb="FFFFC000"/>
        <bgColor indexed="64"/>
      </patternFill>
    </fill>
  </fills>
  <borders count="62">
    <border>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
      <left/>
      <right style="medium">
        <color indexed="64"/>
      </right>
      <top style="medium">
        <color indexed="64"/>
      </top>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right style="thin">
        <color indexed="64"/>
      </right>
      <top style="medium">
        <color indexed="64"/>
      </top>
      <bottom/>
      <diagonal/>
    </border>
    <border>
      <left/>
      <right/>
      <top style="thin">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14" fillId="0" borderId="0" applyFont="0" applyFill="0" applyBorder="0" applyAlignment="0" applyProtection="0"/>
  </cellStyleXfs>
  <cellXfs count="458">
    <xf numFmtId="0" fontId="0" fillId="0" borderId="0" xfId="0"/>
    <xf numFmtId="0" fontId="0" fillId="0" borderId="0" xfId="0" applyBorder="1"/>
    <xf numFmtId="0" fontId="1" fillId="0" borderId="0" xfId="0" applyFont="1"/>
    <xf numFmtId="0" fontId="0" fillId="0" borderId="0" xfId="0" applyFont="1" applyBorder="1"/>
    <xf numFmtId="0" fontId="0" fillId="0" borderId="0" xfId="0" applyFont="1"/>
    <xf numFmtId="0" fontId="3" fillId="12" borderId="16" xfId="0" applyFont="1" applyFill="1" applyBorder="1" applyAlignment="1">
      <alignment horizontal="center" vertical="center"/>
    </xf>
    <xf numFmtId="0" fontId="2" fillId="9" borderId="19" xfId="0" applyFont="1" applyFill="1" applyBorder="1" applyAlignment="1">
      <alignment horizontal="center"/>
    </xf>
    <xf numFmtId="0" fontId="3" fillId="12" borderId="21" xfId="0" applyFont="1" applyFill="1" applyBorder="1" applyAlignment="1">
      <alignment horizontal="center" vertical="center"/>
    </xf>
    <xf numFmtId="0" fontId="2" fillId="8" borderId="10" xfId="0" applyFont="1" applyFill="1" applyBorder="1" applyAlignment="1">
      <alignment horizontal="center"/>
    </xf>
    <xf numFmtId="0" fontId="3" fillId="14" borderId="19" xfId="0" applyFont="1" applyFill="1" applyBorder="1" applyAlignment="1">
      <alignment horizontal="left" vertical="center" wrapText="1"/>
    </xf>
    <xf numFmtId="0" fontId="3" fillId="12" borderId="21" xfId="0" applyFont="1" applyFill="1" applyBorder="1" applyAlignment="1">
      <alignment vertical="center"/>
    </xf>
    <xf numFmtId="0" fontId="4" fillId="19" borderId="21" xfId="0" applyFont="1" applyFill="1" applyBorder="1" applyAlignment="1">
      <alignment horizontal="center" vertical="center"/>
    </xf>
    <xf numFmtId="0" fontId="3" fillId="13" borderId="20" xfId="0" applyFont="1" applyFill="1" applyBorder="1" applyAlignment="1">
      <alignment horizontal="left" vertical="center"/>
    </xf>
    <xf numFmtId="0" fontId="3" fillId="12" borderId="26" xfId="0" applyFont="1" applyFill="1" applyBorder="1" applyAlignment="1">
      <alignment vertical="center"/>
    </xf>
    <xf numFmtId="0" fontId="3" fillId="11" borderId="19" xfId="0" applyFont="1" applyFill="1" applyBorder="1" applyAlignment="1">
      <alignment vertical="center"/>
    </xf>
    <xf numFmtId="0" fontId="3" fillId="11" borderId="37" xfId="0" applyFont="1" applyFill="1" applyBorder="1" applyAlignment="1">
      <alignment vertical="center"/>
    </xf>
    <xf numFmtId="164" fontId="3" fillId="16" borderId="21" xfId="0" applyNumberFormat="1" applyFont="1" applyFill="1" applyBorder="1" applyAlignment="1">
      <alignment horizontal="center" vertical="center"/>
    </xf>
    <xf numFmtId="0" fontId="2" fillId="3" borderId="40" xfId="0" applyFont="1" applyFill="1" applyBorder="1" applyAlignment="1">
      <alignment horizontal="center"/>
    </xf>
    <xf numFmtId="0" fontId="2" fillId="3" borderId="18" xfId="0" applyFont="1" applyFill="1" applyBorder="1" applyAlignment="1">
      <alignment horizontal="center"/>
    </xf>
    <xf numFmtId="0" fontId="2" fillId="4" borderId="17" xfId="0" applyFont="1" applyFill="1" applyBorder="1" applyAlignment="1">
      <alignment horizontal="center"/>
    </xf>
    <xf numFmtId="0" fontId="2" fillId="5" borderId="18" xfId="0" applyFont="1" applyFill="1" applyBorder="1" applyAlignment="1">
      <alignment horizontal="center"/>
    </xf>
    <xf numFmtId="0" fontId="2" fillId="6" borderId="14" xfId="0" applyFont="1" applyFill="1" applyBorder="1" applyAlignment="1">
      <alignment horizontal="center"/>
    </xf>
    <xf numFmtId="0" fontId="2" fillId="6" borderId="15" xfId="0" applyFont="1" applyFill="1" applyBorder="1" applyAlignment="1">
      <alignment horizontal="center"/>
    </xf>
    <xf numFmtId="0" fontId="2" fillId="8" borderId="16" xfId="0" applyFont="1" applyFill="1" applyBorder="1" applyAlignment="1">
      <alignment horizontal="center"/>
    </xf>
    <xf numFmtId="0" fontId="2" fillId="9" borderId="21" xfId="0" applyFont="1" applyFill="1" applyBorder="1" applyAlignment="1">
      <alignment horizontal="center"/>
    </xf>
    <xf numFmtId="0" fontId="3" fillId="10" borderId="16" xfId="0" applyFont="1" applyFill="1" applyBorder="1" applyAlignment="1">
      <alignment horizontal="center" vertical="center"/>
    </xf>
    <xf numFmtId="0" fontId="3" fillId="10" borderId="41" xfId="0" applyFont="1" applyFill="1" applyBorder="1" applyAlignment="1">
      <alignment horizontal="center" vertical="center"/>
    </xf>
    <xf numFmtId="164" fontId="0" fillId="0" borderId="0" xfId="0" applyNumberFormat="1" applyBorder="1"/>
    <xf numFmtId="20" fontId="0" fillId="0" borderId="0" xfId="0" applyNumberFormat="1" applyBorder="1"/>
    <xf numFmtId="0" fontId="5" fillId="7" borderId="13" xfId="0" applyFont="1" applyFill="1" applyBorder="1" applyAlignment="1">
      <alignment horizontal="center"/>
    </xf>
    <xf numFmtId="0" fontId="9" fillId="2" borderId="15" xfId="0" applyFont="1" applyFill="1" applyBorder="1" applyAlignment="1">
      <alignment horizontal="center"/>
    </xf>
    <xf numFmtId="0" fontId="9" fillId="4" borderId="16" xfId="0" applyFont="1" applyFill="1" applyBorder="1" applyAlignment="1">
      <alignment horizontal="center"/>
    </xf>
    <xf numFmtId="0" fontId="10" fillId="2" borderId="13" xfId="0" applyFont="1" applyFill="1" applyBorder="1" applyAlignment="1">
      <alignment horizontal="center"/>
    </xf>
    <xf numFmtId="0" fontId="10" fillId="4" borderId="16" xfId="0" applyFont="1" applyFill="1" applyBorder="1" applyAlignment="1">
      <alignment horizontal="center"/>
    </xf>
    <xf numFmtId="0" fontId="10" fillId="5" borderId="40" xfId="0" applyFont="1" applyFill="1" applyBorder="1" applyAlignment="1">
      <alignment horizontal="center"/>
    </xf>
    <xf numFmtId="0" fontId="11" fillId="7" borderId="17" xfId="0" applyFont="1" applyFill="1" applyBorder="1" applyAlignment="1">
      <alignment horizontal="center"/>
    </xf>
    <xf numFmtId="0" fontId="11" fillId="7" borderId="16" xfId="0" applyFont="1" applyFill="1" applyBorder="1" applyAlignment="1">
      <alignment horizontal="center"/>
    </xf>
    <xf numFmtId="0" fontId="11" fillId="7" borderId="41" xfId="0" applyFont="1" applyFill="1" applyBorder="1" applyAlignment="1">
      <alignment horizontal="center"/>
    </xf>
    <xf numFmtId="165" fontId="3" fillId="14" borderId="27" xfId="0" applyNumberFormat="1" applyFont="1" applyFill="1" applyBorder="1" applyAlignment="1">
      <alignment horizontal="center" vertical="center" wrapText="1"/>
    </xf>
    <xf numFmtId="165" fontId="3" fillId="14" borderId="38" xfId="0" applyNumberFormat="1" applyFont="1" applyFill="1" applyBorder="1" applyAlignment="1">
      <alignment horizontal="center" vertical="center" wrapText="1"/>
    </xf>
    <xf numFmtId="165" fontId="3" fillId="14" borderId="39" xfId="0" applyNumberFormat="1" applyFont="1" applyFill="1" applyBorder="1" applyAlignment="1">
      <alignment horizontal="center" vertical="center" wrapText="1"/>
    </xf>
    <xf numFmtId="165" fontId="3" fillId="14" borderId="28" xfId="0" applyNumberFormat="1" applyFont="1" applyFill="1" applyBorder="1" applyAlignment="1">
      <alignment horizontal="center" vertical="center" wrapText="1"/>
    </xf>
    <xf numFmtId="165" fontId="3" fillId="14" borderId="6" xfId="0" applyNumberFormat="1" applyFont="1" applyFill="1" applyBorder="1" applyAlignment="1">
      <alignment horizontal="center" vertical="center" wrapText="1"/>
    </xf>
    <xf numFmtId="165" fontId="3" fillId="14" borderId="3" xfId="0" applyNumberFormat="1" applyFont="1" applyFill="1" applyBorder="1" applyAlignment="1">
      <alignment horizontal="center" vertical="center" wrapText="1"/>
    </xf>
    <xf numFmtId="165" fontId="3" fillId="14" borderId="25" xfId="0" applyNumberFormat="1" applyFont="1" applyFill="1" applyBorder="1" applyAlignment="1">
      <alignment horizontal="center" vertical="center" wrapText="1"/>
    </xf>
    <xf numFmtId="165" fontId="3" fillId="17" borderId="25" xfId="0" applyNumberFormat="1" applyFont="1" applyFill="1" applyBorder="1" applyAlignment="1">
      <alignment horizontal="center" vertical="center" wrapText="1"/>
    </xf>
    <xf numFmtId="165" fontId="3" fillId="13" borderId="11" xfId="0" applyNumberFormat="1" applyFont="1" applyFill="1" applyBorder="1" applyAlignment="1">
      <alignment horizontal="center" vertical="center"/>
    </xf>
    <xf numFmtId="165" fontId="3" fillId="13" borderId="4" xfId="0" applyNumberFormat="1" applyFont="1" applyFill="1" applyBorder="1" applyAlignment="1">
      <alignment horizontal="center" vertical="center"/>
    </xf>
    <xf numFmtId="165" fontId="3" fillId="13" borderId="24" xfId="0" applyNumberFormat="1" applyFont="1" applyFill="1" applyBorder="1" applyAlignment="1">
      <alignment horizontal="center" vertical="center"/>
    </xf>
    <xf numFmtId="165" fontId="3" fillId="13" borderId="12" xfId="0" applyNumberFormat="1" applyFont="1" applyFill="1" applyBorder="1" applyAlignment="1">
      <alignment horizontal="center" vertical="center"/>
    </xf>
    <xf numFmtId="165" fontId="3" fillId="13" borderId="5" xfId="0" applyNumberFormat="1" applyFont="1" applyFill="1" applyBorder="1" applyAlignment="1">
      <alignment horizontal="center" vertical="center"/>
    </xf>
    <xf numFmtId="165" fontId="3" fillId="13" borderId="2" xfId="0" applyNumberFormat="1" applyFont="1" applyFill="1" applyBorder="1" applyAlignment="1">
      <alignment horizontal="center" vertical="center"/>
    </xf>
    <xf numFmtId="165" fontId="3" fillId="13" borderId="23" xfId="0" applyNumberFormat="1" applyFont="1" applyFill="1" applyBorder="1" applyAlignment="1">
      <alignment horizontal="center" vertical="center"/>
    </xf>
    <xf numFmtId="165" fontId="3" fillId="13" borderId="20" xfId="0" applyNumberFormat="1" applyFont="1" applyFill="1" applyBorder="1" applyAlignment="1">
      <alignment horizontal="center" vertical="center"/>
    </xf>
    <xf numFmtId="165" fontId="3" fillId="15" borderId="20" xfId="0" applyNumberFormat="1" applyFont="1" applyFill="1" applyBorder="1" applyAlignment="1">
      <alignment horizontal="center" vertical="center"/>
    </xf>
    <xf numFmtId="165" fontId="3" fillId="11" borderId="29" xfId="0" applyNumberFormat="1" applyFont="1" applyFill="1" applyBorder="1" applyAlignment="1">
      <alignment horizontal="center" vertical="center"/>
    </xf>
    <xf numFmtId="165" fontId="3" fillId="11" borderId="30" xfId="0" applyNumberFormat="1" applyFont="1" applyFill="1" applyBorder="1" applyAlignment="1">
      <alignment horizontal="center" vertical="center"/>
    </xf>
    <xf numFmtId="165" fontId="3" fillId="11" borderId="31" xfId="0" applyNumberFormat="1" applyFont="1" applyFill="1" applyBorder="1" applyAlignment="1">
      <alignment horizontal="center" vertical="center"/>
    </xf>
    <xf numFmtId="165" fontId="3" fillId="11" borderId="32" xfId="0" applyNumberFormat="1" applyFont="1" applyFill="1" applyBorder="1" applyAlignment="1">
      <alignment horizontal="center" vertical="center"/>
    </xf>
    <xf numFmtId="165" fontId="3" fillId="11" borderId="33" xfId="0" applyNumberFormat="1" applyFont="1" applyFill="1" applyBorder="1" applyAlignment="1">
      <alignment horizontal="center" vertical="center"/>
    </xf>
    <xf numFmtId="165" fontId="3" fillId="11" borderId="34" xfId="0" applyNumberFormat="1" applyFont="1" applyFill="1" applyBorder="1" applyAlignment="1">
      <alignment horizontal="center" vertical="center"/>
    </xf>
    <xf numFmtId="165" fontId="3" fillId="11" borderId="22" xfId="0" applyNumberFormat="1" applyFont="1" applyFill="1" applyBorder="1" applyAlignment="1">
      <alignment horizontal="center" vertical="center"/>
    </xf>
    <xf numFmtId="165" fontId="3" fillId="11" borderId="35" xfId="0" applyNumberFormat="1" applyFont="1" applyFill="1" applyBorder="1" applyAlignment="1">
      <alignment horizontal="center" vertical="center"/>
    </xf>
    <xf numFmtId="165" fontId="3" fillId="11" borderId="36" xfId="0" applyNumberFormat="1" applyFont="1" applyFill="1" applyBorder="1" applyAlignment="1">
      <alignment horizontal="center" vertical="center"/>
    </xf>
    <xf numFmtId="165" fontId="3" fillId="16" borderId="36" xfId="0" applyNumberFormat="1" applyFont="1" applyFill="1" applyBorder="1" applyAlignment="1">
      <alignment horizontal="center" vertical="center"/>
    </xf>
    <xf numFmtId="165" fontId="3" fillId="11" borderId="16" xfId="0" applyNumberFormat="1" applyFont="1" applyFill="1" applyBorder="1" applyAlignment="1">
      <alignment horizontal="center" vertical="center"/>
    </xf>
    <xf numFmtId="165" fontId="3" fillId="11" borderId="21" xfId="0" applyNumberFormat="1" applyFont="1" applyFill="1" applyBorder="1" applyAlignment="1">
      <alignment horizontal="center" vertical="center"/>
    </xf>
    <xf numFmtId="165" fontId="3" fillId="16" borderId="21" xfId="0" applyNumberFormat="1" applyFont="1" applyFill="1" applyBorder="1" applyAlignment="1">
      <alignment horizontal="center" vertical="center"/>
    </xf>
    <xf numFmtId="165" fontId="3" fillId="12" borderId="0" xfId="0" applyNumberFormat="1" applyFont="1" applyFill="1" applyBorder="1" applyAlignment="1">
      <alignment horizontal="center" vertical="center"/>
    </xf>
    <xf numFmtId="165" fontId="3" fillId="12" borderId="26" xfId="0" applyNumberFormat="1" applyFont="1" applyFill="1" applyBorder="1" applyAlignment="1">
      <alignment horizontal="center" vertical="center"/>
    </xf>
    <xf numFmtId="0" fontId="2" fillId="0" borderId="0" xfId="0" applyFont="1"/>
    <xf numFmtId="0" fontId="2" fillId="0" borderId="0" xfId="0" applyFont="1" applyAlignment="1">
      <alignment horizontal="center"/>
    </xf>
    <xf numFmtId="0" fontId="2" fillId="2" borderId="15" xfId="0" applyFont="1" applyFill="1" applyBorder="1" applyAlignment="1">
      <alignment horizontal="center"/>
    </xf>
    <xf numFmtId="0" fontId="2" fillId="2" borderId="40" xfId="0" applyFont="1" applyFill="1" applyBorder="1" applyAlignment="1">
      <alignment horizontal="center"/>
    </xf>
    <xf numFmtId="0" fontId="2" fillId="2" borderId="17" xfId="0" applyFont="1" applyFill="1" applyBorder="1" applyAlignment="1">
      <alignment horizontal="center"/>
    </xf>
    <xf numFmtId="0" fontId="2" fillId="3" borderId="17" xfId="0" applyFont="1" applyFill="1" applyBorder="1" applyAlignment="1">
      <alignment horizontal="center"/>
    </xf>
    <xf numFmtId="0" fontId="3" fillId="10" borderId="17" xfId="0" applyFont="1" applyFill="1" applyBorder="1" applyAlignment="1">
      <alignment horizontal="center" vertical="center"/>
    </xf>
    <xf numFmtId="0" fontId="3" fillId="10" borderId="14" xfId="0" applyFont="1" applyFill="1" applyBorder="1" applyAlignment="1">
      <alignment horizontal="center" vertical="center"/>
    </xf>
    <xf numFmtId="0" fontId="2" fillId="3" borderId="41" xfId="0" applyFont="1" applyFill="1" applyBorder="1" applyAlignment="1">
      <alignment horizontal="center"/>
    </xf>
    <xf numFmtId="0" fontId="3" fillId="10" borderId="15" xfId="0" applyFont="1" applyFill="1" applyBorder="1" applyAlignment="1">
      <alignment horizontal="center" vertical="center"/>
    </xf>
    <xf numFmtId="0" fontId="2" fillId="3" borderId="14" xfId="0" applyFont="1" applyFill="1" applyBorder="1" applyAlignment="1">
      <alignment horizontal="center"/>
    </xf>
    <xf numFmtId="0" fontId="2" fillId="2" borderId="19" xfId="0" applyFont="1" applyFill="1" applyBorder="1" applyAlignment="1">
      <alignment horizontal="center"/>
    </xf>
    <xf numFmtId="0" fontId="2" fillId="3" borderId="15" xfId="0" applyFont="1" applyFill="1" applyBorder="1" applyAlignment="1">
      <alignment horizontal="center"/>
    </xf>
    <xf numFmtId="0" fontId="3" fillId="10" borderId="40" xfId="0" applyFont="1" applyFill="1" applyBorder="1" applyAlignment="1">
      <alignment horizontal="center" vertical="center"/>
    </xf>
    <xf numFmtId="0" fontId="2" fillId="2" borderId="21" xfId="0" applyFont="1" applyFill="1" applyBorder="1" applyAlignment="1">
      <alignment horizontal="center"/>
    </xf>
    <xf numFmtId="0" fontId="2" fillId="3" borderId="19" xfId="0" applyFont="1" applyFill="1" applyBorder="1" applyAlignment="1">
      <alignment horizontal="center"/>
    </xf>
    <xf numFmtId="0" fontId="2" fillId="3" borderId="21" xfId="0" applyFont="1" applyFill="1" applyBorder="1" applyAlignment="1">
      <alignment horizontal="center"/>
    </xf>
    <xf numFmtId="0" fontId="2" fillId="2" borderId="41" xfId="0" applyFont="1" applyFill="1" applyBorder="1" applyAlignment="1">
      <alignment horizontal="center"/>
    </xf>
    <xf numFmtId="165" fontId="2" fillId="14" borderId="39" xfId="0" applyNumberFormat="1" applyFont="1" applyFill="1" applyBorder="1" applyAlignment="1">
      <alignment horizontal="center"/>
    </xf>
    <xf numFmtId="165" fontId="2" fillId="14" borderId="45" xfId="0" applyNumberFormat="1" applyFont="1" applyFill="1" applyBorder="1" applyAlignment="1">
      <alignment horizontal="center"/>
    </xf>
    <xf numFmtId="165" fontId="2" fillId="14" borderId="3" xfId="0" applyNumberFormat="1" applyFont="1" applyFill="1" applyBorder="1" applyAlignment="1">
      <alignment horizontal="center"/>
    </xf>
    <xf numFmtId="165" fontId="2" fillId="14" borderId="50" xfId="0" applyNumberFormat="1" applyFont="1" applyFill="1" applyBorder="1" applyAlignment="1">
      <alignment horizontal="center"/>
    </xf>
    <xf numFmtId="165" fontId="2" fillId="14" borderId="25" xfId="0" applyNumberFormat="1" applyFont="1" applyFill="1" applyBorder="1" applyAlignment="1">
      <alignment horizontal="center"/>
    </xf>
    <xf numFmtId="165" fontId="2" fillId="17" borderId="47" xfId="0" applyNumberFormat="1" applyFont="1" applyFill="1" applyBorder="1" applyAlignment="1">
      <alignment horizontal="center"/>
    </xf>
    <xf numFmtId="165" fontId="2" fillId="13" borderId="24" xfId="0" applyNumberFormat="1" applyFont="1" applyFill="1" applyBorder="1" applyAlignment="1">
      <alignment horizontal="center"/>
    </xf>
    <xf numFmtId="165" fontId="2" fillId="13" borderId="4" xfId="0" applyNumberFormat="1" applyFont="1" applyFill="1" applyBorder="1" applyAlignment="1">
      <alignment horizontal="center"/>
    </xf>
    <xf numFmtId="165" fontId="2" fillId="13" borderId="2" xfId="0" applyNumberFormat="1" applyFont="1" applyFill="1" applyBorder="1" applyAlignment="1">
      <alignment horizontal="center"/>
    </xf>
    <xf numFmtId="165" fontId="2" fillId="13" borderId="23" xfId="0" applyNumberFormat="1" applyFont="1" applyFill="1" applyBorder="1" applyAlignment="1">
      <alignment horizontal="center"/>
    </xf>
    <xf numFmtId="165" fontId="2" fillId="13" borderId="49" xfId="0" applyNumberFormat="1" applyFont="1" applyFill="1" applyBorder="1" applyAlignment="1">
      <alignment horizontal="center"/>
    </xf>
    <xf numFmtId="165" fontId="2" fillId="13" borderId="20" xfId="0" applyNumberFormat="1" applyFont="1" applyFill="1" applyBorder="1" applyAlignment="1">
      <alignment horizontal="center"/>
    </xf>
    <xf numFmtId="165" fontId="2" fillId="13" borderId="12" xfId="0" applyNumberFormat="1" applyFont="1" applyFill="1" applyBorder="1" applyAlignment="1">
      <alignment horizontal="center"/>
    </xf>
    <xf numFmtId="165" fontId="2" fillId="15" borderId="12" xfId="0" applyNumberFormat="1" applyFont="1" applyFill="1" applyBorder="1" applyAlignment="1">
      <alignment horizontal="center"/>
    </xf>
    <xf numFmtId="165" fontId="2" fillId="11" borderId="7" xfId="0" applyNumberFormat="1" applyFont="1" applyFill="1" applyBorder="1" applyAlignment="1">
      <alignment horizontal="center"/>
    </xf>
    <xf numFmtId="165" fontId="2" fillId="11" borderId="9" xfId="0" applyNumberFormat="1" applyFont="1" applyFill="1" applyBorder="1" applyAlignment="1">
      <alignment horizontal="center"/>
    </xf>
    <xf numFmtId="165" fontId="2" fillId="11" borderId="1" xfId="0" applyNumberFormat="1" applyFont="1" applyFill="1" applyBorder="1" applyAlignment="1">
      <alignment horizontal="center"/>
    </xf>
    <xf numFmtId="165" fontId="2" fillId="11" borderId="22" xfId="0" applyNumberFormat="1" applyFont="1" applyFill="1" applyBorder="1" applyAlignment="1">
      <alignment horizontal="center"/>
    </xf>
    <xf numFmtId="165" fontId="2" fillId="11" borderId="8" xfId="0" applyNumberFormat="1" applyFont="1" applyFill="1" applyBorder="1" applyAlignment="1">
      <alignment horizontal="center"/>
    </xf>
    <xf numFmtId="165" fontId="2" fillId="11" borderId="19" xfId="0" applyNumberFormat="1" applyFont="1" applyFill="1" applyBorder="1" applyAlignment="1">
      <alignment horizontal="center"/>
    </xf>
    <xf numFmtId="165" fontId="2" fillId="11" borderId="46" xfId="0" applyNumberFormat="1" applyFont="1" applyFill="1" applyBorder="1" applyAlignment="1">
      <alignment horizontal="center"/>
    </xf>
    <xf numFmtId="165" fontId="2" fillId="16" borderId="46" xfId="0" applyNumberFormat="1" applyFont="1" applyFill="1" applyBorder="1" applyAlignment="1">
      <alignment horizontal="center"/>
    </xf>
    <xf numFmtId="165" fontId="2" fillId="11" borderId="21" xfId="0" applyNumberFormat="1" applyFont="1" applyFill="1" applyBorder="1" applyAlignment="1">
      <alignment horizontal="center"/>
    </xf>
    <xf numFmtId="165" fontId="2" fillId="11" borderId="18" xfId="0" applyNumberFormat="1" applyFont="1" applyFill="1" applyBorder="1" applyAlignment="1">
      <alignment horizontal="center"/>
    </xf>
    <xf numFmtId="165" fontId="2" fillId="16" borderId="18" xfId="0" applyNumberFormat="1" applyFont="1" applyFill="1" applyBorder="1" applyAlignment="1">
      <alignment horizontal="center"/>
    </xf>
    <xf numFmtId="165" fontId="2" fillId="12" borderId="25" xfId="0" applyNumberFormat="1" applyFont="1" applyFill="1" applyBorder="1" applyAlignment="1">
      <alignment horizontal="center"/>
    </xf>
    <xf numFmtId="165" fontId="2" fillId="12" borderId="28" xfId="0" applyNumberFormat="1" applyFont="1" applyFill="1" applyBorder="1" applyAlignment="1">
      <alignment horizontal="center"/>
    </xf>
    <xf numFmtId="165" fontId="2" fillId="12" borderId="21" xfId="0" applyNumberFormat="1" applyFont="1" applyFill="1" applyBorder="1" applyAlignment="1">
      <alignment horizontal="center"/>
    </xf>
    <xf numFmtId="165" fontId="2" fillId="12" borderId="18" xfId="0" applyNumberFormat="1" applyFont="1" applyFill="1" applyBorder="1" applyAlignment="1">
      <alignment horizontal="center"/>
    </xf>
    <xf numFmtId="165" fontId="4" fillId="19" borderId="18" xfId="0" applyNumberFormat="1" applyFont="1" applyFill="1" applyBorder="1" applyAlignment="1">
      <alignment horizontal="center"/>
    </xf>
    <xf numFmtId="165" fontId="2" fillId="12" borderId="18" xfId="0" applyNumberFormat="1" applyFont="1" applyFill="1" applyBorder="1" applyAlignment="1">
      <alignment horizontal="center"/>
    </xf>
    <xf numFmtId="165" fontId="3" fillId="14" borderId="22" xfId="0" applyNumberFormat="1" applyFont="1" applyFill="1" applyBorder="1" applyAlignment="1">
      <alignment horizontal="center" vertical="center" wrapText="1"/>
    </xf>
    <xf numFmtId="165" fontId="3" fillId="13" borderId="41" xfId="0" applyNumberFormat="1" applyFont="1" applyFill="1" applyBorder="1" applyAlignment="1">
      <alignment horizontal="center" vertical="center"/>
    </xf>
    <xf numFmtId="0" fontId="2" fillId="2" borderId="24" xfId="0" applyFont="1" applyFill="1" applyBorder="1" applyAlignment="1">
      <alignment horizontal="center"/>
    </xf>
    <xf numFmtId="0" fontId="2" fillId="2" borderId="4" xfId="0" applyFont="1" applyFill="1" applyBorder="1" applyAlignment="1">
      <alignment horizontal="center"/>
    </xf>
    <xf numFmtId="0" fontId="2" fillId="3" borderId="24" xfId="0" applyFont="1" applyFill="1" applyBorder="1" applyAlignment="1">
      <alignment horizontal="center"/>
    </xf>
    <xf numFmtId="0" fontId="2" fillId="3" borderId="2" xfId="0" applyFont="1" applyFill="1" applyBorder="1" applyAlignment="1">
      <alignment horizontal="center"/>
    </xf>
    <xf numFmtId="0" fontId="2" fillId="3" borderId="23" xfId="0" applyFont="1" applyFill="1" applyBorder="1" applyAlignment="1">
      <alignment horizontal="center"/>
    </xf>
    <xf numFmtId="0" fontId="3" fillId="10" borderId="49" xfId="0" applyFont="1" applyFill="1" applyBorder="1" applyAlignment="1">
      <alignment horizontal="center" vertical="center"/>
    </xf>
    <xf numFmtId="0" fontId="3" fillId="10" borderId="2" xfId="0" applyFont="1" applyFill="1" applyBorder="1" applyAlignment="1">
      <alignment horizontal="center" vertical="center"/>
    </xf>
    <xf numFmtId="0" fontId="3" fillId="10" borderId="4" xfId="0" applyFont="1" applyFill="1" applyBorder="1" applyAlignment="1">
      <alignment horizontal="center" vertical="center"/>
    </xf>
    <xf numFmtId="0" fontId="2" fillId="2" borderId="20" xfId="0" applyFont="1" applyFill="1" applyBorder="1" applyAlignment="1">
      <alignment horizontal="center"/>
    </xf>
    <xf numFmtId="0" fontId="2" fillId="3" borderId="49" xfId="0" applyFont="1" applyFill="1" applyBorder="1" applyAlignment="1">
      <alignment horizontal="center"/>
    </xf>
    <xf numFmtId="0" fontId="2" fillId="3" borderId="4" xfId="0" applyFont="1" applyFill="1" applyBorder="1" applyAlignment="1">
      <alignment horizontal="center"/>
    </xf>
    <xf numFmtId="0" fontId="3" fillId="10" borderId="24" xfId="0" applyFont="1" applyFill="1" applyBorder="1" applyAlignment="1">
      <alignment horizontal="center" vertical="center"/>
    </xf>
    <xf numFmtId="0" fontId="2" fillId="2" borderId="2" xfId="0" applyFont="1" applyFill="1" applyBorder="1" applyAlignment="1">
      <alignment horizontal="center"/>
    </xf>
    <xf numFmtId="0" fontId="2" fillId="2" borderId="23" xfId="0" applyFont="1" applyFill="1" applyBorder="1" applyAlignment="1">
      <alignment horizontal="center"/>
    </xf>
    <xf numFmtId="0" fontId="2" fillId="3" borderId="20" xfId="0" applyFont="1" applyFill="1" applyBorder="1" applyAlignment="1">
      <alignment horizontal="center"/>
    </xf>
    <xf numFmtId="165" fontId="3" fillId="14" borderId="10" xfId="0" applyNumberFormat="1" applyFont="1" applyFill="1" applyBorder="1" applyAlignment="1">
      <alignment horizontal="center" vertical="center" wrapText="1"/>
    </xf>
    <xf numFmtId="165" fontId="2" fillId="14" borderId="7" xfId="0" applyNumberFormat="1" applyFont="1" applyFill="1" applyBorder="1" applyAlignment="1">
      <alignment horizontal="center"/>
    </xf>
    <xf numFmtId="165" fontId="2" fillId="14" borderId="1" xfId="0" applyNumberFormat="1" applyFont="1" applyFill="1" applyBorder="1" applyAlignment="1">
      <alignment horizontal="center"/>
    </xf>
    <xf numFmtId="165" fontId="2" fillId="14" borderId="22" xfId="0" applyNumberFormat="1" applyFont="1" applyFill="1" applyBorder="1" applyAlignment="1">
      <alignment horizontal="center"/>
    </xf>
    <xf numFmtId="165" fontId="2" fillId="14" borderId="8" xfId="0" applyNumberFormat="1" applyFont="1" applyFill="1" applyBorder="1" applyAlignment="1">
      <alignment horizontal="center"/>
    </xf>
    <xf numFmtId="165" fontId="2" fillId="14" borderId="9" xfId="0" applyNumberFormat="1" applyFont="1" applyFill="1" applyBorder="1" applyAlignment="1">
      <alignment horizontal="center"/>
    </xf>
    <xf numFmtId="165" fontId="2" fillId="14" borderId="19" xfId="0" applyNumberFormat="1" applyFont="1" applyFill="1" applyBorder="1" applyAlignment="1">
      <alignment horizontal="center"/>
    </xf>
    <xf numFmtId="165" fontId="2" fillId="14" borderId="46" xfId="0" applyNumberFormat="1" applyFont="1" applyFill="1" applyBorder="1" applyAlignment="1">
      <alignment horizontal="center"/>
    </xf>
    <xf numFmtId="165" fontId="2" fillId="17" borderId="46" xfId="0" applyNumberFormat="1" applyFont="1" applyFill="1" applyBorder="1" applyAlignment="1">
      <alignment horizontal="center"/>
    </xf>
    <xf numFmtId="0" fontId="3" fillId="12" borderId="37" xfId="0" applyFont="1" applyFill="1" applyBorder="1" applyAlignment="1">
      <alignment vertical="center"/>
    </xf>
    <xf numFmtId="165" fontId="2" fillId="12" borderId="37" xfId="0" applyNumberFormat="1" applyFont="1" applyFill="1" applyBorder="1" applyAlignment="1">
      <alignment horizontal="center"/>
    </xf>
    <xf numFmtId="165" fontId="2" fillId="12" borderId="55" xfId="0" applyNumberFormat="1" applyFont="1" applyFill="1" applyBorder="1" applyAlignment="1">
      <alignment horizontal="center"/>
    </xf>
    <xf numFmtId="0" fontId="3" fillId="12" borderId="42" xfId="0" applyFont="1" applyFill="1" applyBorder="1" applyAlignment="1">
      <alignment vertical="center"/>
    </xf>
    <xf numFmtId="165" fontId="2" fillId="12" borderId="42" xfId="0" applyNumberFormat="1" applyFont="1" applyFill="1" applyBorder="1" applyAlignment="1">
      <alignment horizontal="center"/>
    </xf>
    <xf numFmtId="165" fontId="2" fillId="12" borderId="54" xfId="0" applyNumberFormat="1" applyFont="1" applyFill="1" applyBorder="1" applyAlignment="1">
      <alignment horizontal="center"/>
    </xf>
    <xf numFmtId="165" fontId="3" fillId="12" borderId="53" xfId="0" applyNumberFormat="1" applyFont="1" applyFill="1" applyBorder="1" applyAlignment="1">
      <alignment horizontal="center" vertical="center"/>
    </xf>
    <xf numFmtId="165" fontId="3" fillId="12" borderId="42" xfId="0" applyNumberFormat="1" applyFont="1" applyFill="1" applyBorder="1" applyAlignment="1">
      <alignment horizontal="center" vertical="center"/>
    </xf>
    <xf numFmtId="0" fontId="3" fillId="11" borderId="26" xfId="0" applyFont="1" applyFill="1" applyBorder="1" applyAlignment="1">
      <alignment vertical="center"/>
    </xf>
    <xf numFmtId="0" fontId="3" fillId="11" borderId="58" xfId="0" applyFont="1" applyFill="1" applyBorder="1" applyAlignment="1">
      <alignment vertical="center"/>
    </xf>
    <xf numFmtId="165" fontId="3" fillId="12" borderId="57" xfId="0" applyNumberFormat="1" applyFont="1" applyFill="1" applyBorder="1" applyAlignment="1">
      <alignment horizontal="center" vertical="center"/>
    </xf>
    <xf numFmtId="165" fontId="3" fillId="12" borderId="37" xfId="0" applyNumberFormat="1" applyFont="1" applyFill="1" applyBorder="1" applyAlignment="1">
      <alignment horizontal="center" vertical="center"/>
    </xf>
    <xf numFmtId="0" fontId="3" fillId="14" borderId="51" xfId="0" applyFont="1" applyFill="1" applyBorder="1" applyAlignment="1">
      <alignment horizontal="left" vertical="center" wrapText="1"/>
    </xf>
    <xf numFmtId="0" fontId="3" fillId="13" borderId="11" xfId="0" applyFont="1" applyFill="1" applyBorder="1" applyAlignment="1">
      <alignment horizontal="left" vertical="center"/>
    </xf>
    <xf numFmtId="0" fontId="3" fillId="11" borderId="51" xfId="0" applyFont="1" applyFill="1" applyBorder="1" applyAlignment="1">
      <alignment vertical="center"/>
    </xf>
    <xf numFmtId="165" fontId="3" fillId="14" borderId="50" xfId="0" applyNumberFormat="1" applyFont="1" applyFill="1" applyBorder="1" applyAlignment="1">
      <alignment horizontal="center" vertical="center" wrapText="1"/>
    </xf>
    <xf numFmtId="165" fontId="3" fillId="13" borderId="49" xfId="0" applyNumberFormat="1" applyFont="1" applyFill="1" applyBorder="1" applyAlignment="1">
      <alignment horizontal="center" vertical="center"/>
    </xf>
    <xf numFmtId="165" fontId="3" fillId="11" borderId="59" xfId="0" applyNumberFormat="1" applyFont="1" applyFill="1" applyBorder="1" applyAlignment="1">
      <alignment horizontal="center" vertical="center"/>
    </xf>
    <xf numFmtId="165" fontId="3" fillId="14" borderId="51" xfId="0" applyNumberFormat="1" applyFont="1" applyFill="1" applyBorder="1" applyAlignment="1">
      <alignment horizontal="center" vertical="center" wrapText="1"/>
    </xf>
    <xf numFmtId="165" fontId="3" fillId="14" borderId="1" xfId="0" applyNumberFormat="1" applyFont="1" applyFill="1" applyBorder="1" applyAlignment="1">
      <alignment horizontal="center" vertical="center" wrapText="1"/>
    </xf>
    <xf numFmtId="165" fontId="3" fillId="14" borderId="46" xfId="0" applyNumberFormat="1" applyFont="1" applyFill="1" applyBorder="1" applyAlignment="1">
      <alignment horizontal="center" vertical="center" wrapText="1"/>
    </xf>
    <xf numFmtId="165" fontId="3" fillId="14" borderId="45" xfId="0" applyNumberFormat="1" applyFont="1" applyFill="1" applyBorder="1" applyAlignment="1">
      <alignment horizontal="center" vertical="center" wrapText="1"/>
    </xf>
    <xf numFmtId="165" fontId="3" fillId="14" borderId="19" xfId="0" applyNumberFormat="1" applyFont="1" applyFill="1" applyBorder="1" applyAlignment="1">
      <alignment horizontal="center" vertical="center" wrapText="1"/>
    </xf>
    <xf numFmtId="165" fontId="3" fillId="17" borderId="28" xfId="0" applyNumberFormat="1" applyFont="1" applyFill="1" applyBorder="1" applyAlignment="1">
      <alignment horizontal="center" vertical="center" wrapText="1"/>
    </xf>
    <xf numFmtId="165" fontId="3" fillId="15" borderId="12" xfId="0" applyNumberFormat="1" applyFont="1" applyFill="1" applyBorder="1" applyAlignment="1">
      <alignment horizontal="center" vertical="center"/>
    </xf>
    <xf numFmtId="0" fontId="3" fillId="11" borderId="21" xfId="0" applyFont="1" applyFill="1" applyBorder="1" applyAlignment="1">
      <alignment vertical="center"/>
    </xf>
    <xf numFmtId="0" fontId="3" fillId="12" borderId="56" xfId="0" applyFont="1" applyFill="1" applyBorder="1" applyAlignment="1">
      <alignment vertical="center"/>
    </xf>
    <xf numFmtId="165" fontId="3" fillId="16" borderId="19" xfId="0" applyNumberFormat="1" applyFont="1" applyFill="1" applyBorder="1" applyAlignment="1">
      <alignment horizontal="center" vertical="center"/>
    </xf>
    <xf numFmtId="165" fontId="3" fillId="16" borderId="48" xfId="0" applyNumberFormat="1" applyFont="1" applyFill="1" applyBorder="1" applyAlignment="1">
      <alignment horizontal="center" vertical="center"/>
    </xf>
    <xf numFmtId="0" fontId="6" fillId="0" borderId="0" xfId="0" applyFont="1" applyFill="1" applyBorder="1" applyAlignment="1">
      <alignment horizontal="center"/>
    </xf>
    <xf numFmtId="165" fontId="2" fillId="0" borderId="0" xfId="0" applyNumberFormat="1" applyFont="1" applyFill="1" applyBorder="1" applyAlignment="1">
      <alignment horizontal="center"/>
    </xf>
    <xf numFmtId="9" fontId="3" fillId="14" borderId="27" xfId="1" applyFont="1" applyFill="1" applyBorder="1" applyAlignment="1">
      <alignment horizontal="center" vertical="center" wrapText="1"/>
    </xf>
    <xf numFmtId="9" fontId="3" fillId="14" borderId="38" xfId="1" applyFont="1" applyFill="1" applyBorder="1" applyAlignment="1">
      <alignment horizontal="center" vertical="center" wrapText="1"/>
    </xf>
    <xf numFmtId="9" fontId="3" fillId="14" borderId="39" xfId="1" applyFont="1" applyFill="1" applyBorder="1" applyAlignment="1">
      <alignment horizontal="center" vertical="center" wrapText="1"/>
    </xf>
    <xf numFmtId="9" fontId="3" fillId="14" borderId="28" xfId="1" applyFont="1" applyFill="1" applyBorder="1" applyAlignment="1">
      <alignment horizontal="center" vertical="center" wrapText="1"/>
    </xf>
    <xf numFmtId="9" fontId="3" fillId="14" borderId="6" xfId="1" applyFont="1" applyFill="1" applyBorder="1" applyAlignment="1">
      <alignment horizontal="center" vertical="center" wrapText="1"/>
    </xf>
    <xf numFmtId="9" fontId="3" fillId="14" borderId="3" xfId="1" applyFont="1" applyFill="1" applyBorder="1" applyAlignment="1">
      <alignment horizontal="center" vertical="center" wrapText="1"/>
    </xf>
    <xf numFmtId="9" fontId="3" fillId="14" borderId="25" xfId="1" applyFont="1" applyFill="1" applyBorder="1" applyAlignment="1">
      <alignment horizontal="center" vertical="center" wrapText="1"/>
    </xf>
    <xf numFmtId="9" fontId="3" fillId="13" borderId="11" xfId="1" applyFont="1" applyFill="1" applyBorder="1" applyAlignment="1">
      <alignment horizontal="center" vertical="center"/>
    </xf>
    <xf numFmtId="9" fontId="3" fillId="13" borderId="4" xfId="1" applyFont="1" applyFill="1" applyBorder="1" applyAlignment="1">
      <alignment horizontal="center" vertical="center"/>
    </xf>
    <xf numFmtId="9" fontId="3" fillId="13" borderId="24" xfId="1" applyFont="1" applyFill="1" applyBorder="1" applyAlignment="1">
      <alignment horizontal="center" vertical="center"/>
    </xf>
    <xf numFmtId="9" fontId="3" fillId="13" borderId="12" xfId="1" applyFont="1" applyFill="1" applyBorder="1" applyAlignment="1">
      <alignment horizontal="center" vertical="center"/>
    </xf>
    <xf numFmtId="9" fontId="3" fillId="13" borderId="5" xfId="1" applyFont="1" applyFill="1" applyBorder="1" applyAlignment="1">
      <alignment horizontal="center" vertical="center"/>
    </xf>
    <xf numFmtId="9" fontId="3" fillId="13" borderId="2" xfId="1" applyFont="1" applyFill="1" applyBorder="1" applyAlignment="1">
      <alignment horizontal="center" vertical="center"/>
    </xf>
    <xf numFmtId="9" fontId="3" fillId="13" borderId="23" xfId="1" applyFont="1" applyFill="1" applyBorder="1" applyAlignment="1">
      <alignment horizontal="center" vertical="center"/>
    </xf>
    <xf numFmtId="9" fontId="3" fillId="13" borderId="20" xfId="1" applyFont="1" applyFill="1" applyBorder="1" applyAlignment="1">
      <alignment horizontal="center" vertical="center"/>
    </xf>
    <xf numFmtId="20" fontId="0" fillId="0" borderId="0" xfId="0" applyNumberFormat="1" applyFill="1" applyBorder="1"/>
    <xf numFmtId="9" fontId="3" fillId="11" borderId="29" xfId="1" applyFont="1" applyFill="1" applyBorder="1" applyAlignment="1">
      <alignment horizontal="center" vertical="center"/>
    </xf>
    <xf numFmtId="9" fontId="3" fillId="11" borderId="30" xfId="1" applyFont="1" applyFill="1" applyBorder="1" applyAlignment="1">
      <alignment horizontal="center" vertical="center"/>
    </xf>
    <xf numFmtId="9" fontId="3" fillId="11" borderId="31" xfId="1" applyFont="1" applyFill="1" applyBorder="1" applyAlignment="1">
      <alignment horizontal="center" vertical="center"/>
    </xf>
    <xf numFmtId="9" fontId="3" fillId="11" borderId="32" xfId="1" applyFont="1" applyFill="1" applyBorder="1" applyAlignment="1">
      <alignment horizontal="center" vertical="center"/>
    </xf>
    <xf numFmtId="9" fontId="3" fillId="11" borderId="33" xfId="1" applyFont="1" applyFill="1" applyBorder="1" applyAlignment="1">
      <alignment horizontal="center" vertical="center"/>
    </xf>
    <xf numFmtId="9" fontId="3" fillId="11" borderId="34" xfId="1" applyFont="1" applyFill="1" applyBorder="1" applyAlignment="1">
      <alignment horizontal="center" vertical="center"/>
    </xf>
    <xf numFmtId="9" fontId="3" fillId="11" borderId="22" xfId="1" applyFont="1" applyFill="1" applyBorder="1" applyAlignment="1">
      <alignment horizontal="center" vertical="center"/>
    </xf>
    <xf numFmtId="9" fontId="3" fillId="11" borderId="35" xfId="1" applyFont="1" applyFill="1" applyBorder="1" applyAlignment="1">
      <alignment horizontal="center" vertical="center"/>
    </xf>
    <xf numFmtId="9" fontId="3" fillId="11" borderId="36" xfId="1" applyFont="1" applyFill="1" applyBorder="1" applyAlignment="1">
      <alignment horizontal="center" vertical="center"/>
    </xf>
    <xf numFmtId="9" fontId="3" fillId="11" borderId="16" xfId="1" applyFont="1" applyFill="1" applyBorder="1" applyAlignment="1">
      <alignment horizontal="center" vertical="center"/>
    </xf>
    <xf numFmtId="9" fontId="3" fillId="11" borderId="21" xfId="1" applyFont="1" applyFill="1" applyBorder="1" applyAlignment="1">
      <alignment horizontal="center" vertical="center"/>
    </xf>
    <xf numFmtId="9" fontId="3" fillId="17" borderId="25" xfId="1" applyFont="1" applyFill="1" applyBorder="1" applyAlignment="1">
      <alignment horizontal="center" vertical="center" wrapText="1"/>
    </xf>
    <xf numFmtId="9" fontId="3" fillId="15" borderId="20" xfId="1" applyFont="1" applyFill="1" applyBorder="1" applyAlignment="1">
      <alignment horizontal="center" vertical="center"/>
    </xf>
    <xf numFmtId="9" fontId="3" fillId="16" borderId="36" xfId="1" applyFont="1" applyFill="1" applyBorder="1" applyAlignment="1">
      <alignment horizontal="center" vertical="center"/>
    </xf>
    <xf numFmtId="9" fontId="3" fillId="16" borderId="21" xfId="1" applyFont="1" applyFill="1" applyBorder="1" applyAlignment="1">
      <alignment horizontal="center" vertical="center"/>
    </xf>
    <xf numFmtId="0" fontId="3" fillId="20" borderId="48" xfId="0" applyFont="1" applyFill="1" applyBorder="1" applyAlignment="1">
      <alignment vertical="center"/>
    </xf>
    <xf numFmtId="165" fontId="3" fillId="20" borderId="48" xfId="0" applyNumberFormat="1" applyFont="1" applyFill="1" applyBorder="1" applyAlignment="1">
      <alignment horizontal="center" vertical="center"/>
    </xf>
    <xf numFmtId="165" fontId="3" fillId="20" borderId="60" xfId="0" applyNumberFormat="1" applyFont="1" applyFill="1" applyBorder="1" applyAlignment="1">
      <alignment horizontal="center" vertical="center"/>
    </xf>
    <xf numFmtId="165" fontId="3" fillId="11" borderId="20" xfId="0" applyNumberFormat="1" applyFont="1" applyFill="1" applyBorder="1" applyAlignment="1">
      <alignment horizontal="center" vertical="center"/>
    </xf>
    <xf numFmtId="165" fontId="3" fillId="11" borderId="5" xfId="0" applyNumberFormat="1" applyFont="1" applyFill="1" applyBorder="1" applyAlignment="1">
      <alignment horizontal="center" vertical="center"/>
    </xf>
    <xf numFmtId="0" fontId="3" fillId="20" borderId="19" xfId="0" applyFont="1" applyFill="1" applyBorder="1" applyAlignment="1">
      <alignment vertical="center"/>
    </xf>
    <xf numFmtId="165" fontId="3" fillId="20" borderId="7" xfId="0" applyNumberFormat="1" applyFont="1" applyFill="1" applyBorder="1" applyAlignment="1">
      <alignment horizontal="center" vertical="center"/>
    </xf>
    <xf numFmtId="165" fontId="3" fillId="20" borderId="22" xfId="0" applyNumberFormat="1" applyFont="1" applyFill="1" applyBorder="1" applyAlignment="1">
      <alignment horizontal="center" vertical="center"/>
    </xf>
    <xf numFmtId="165" fontId="3" fillId="20" borderId="8" xfId="0" applyNumberFormat="1" applyFont="1" applyFill="1" applyBorder="1" applyAlignment="1">
      <alignment horizontal="center" vertical="center"/>
    </xf>
    <xf numFmtId="165" fontId="3" fillId="20" borderId="9" xfId="0" applyNumberFormat="1" applyFont="1" applyFill="1" applyBorder="1" applyAlignment="1">
      <alignment horizontal="center" vertical="center"/>
    </xf>
    <xf numFmtId="165" fontId="3" fillId="20" borderId="1" xfId="0" applyNumberFormat="1" applyFont="1" applyFill="1" applyBorder="1" applyAlignment="1">
      <alignment horizontal="center" vertical="center"/>
    </xf>
    <xf numFmtId="165" fontId="2" fillId="20" borderId="8" xfId="0" applyNumberFormat="1" applyFont="1" applyFill="1" applyBorder="1" applyAlignment="1">
      <alignment horizontal="center" vertical="center"/>
    </xf>
    <xf numFmtId="165" fontId="2" fillId="20" borderId="9" xfId="0" applyNumberFormat="1" applyFont="1" applyFill="1" applyBorder="1" applyAlignment="1">
      <alignment horizontal="center" vertical="center"/>
    </xf>
    <xf numFmtId="165" fontId="2" fillId="20" borderId="7" xfId="0" applyNumberFormat="1" applyFont="1" applyFill="1" applyBorder="1" applyAlignment="1">
      <alignment horizontal="center" vertical="center"/>
    </xf>
    <xf numFmtId="165" fontId="2" fillId="20" borderId="22" xfId="0" applyNumberFormat="1" applyFont="1" applyFill="1" applyBorder="1" applyAlignment="1">
      <alignment horizontal="center" vertical="center"/>
    </xf>
    <xf numFmtId="165" fontId="2" fillId="20" borderId="1" xfId="0" applyNumberFormat="1" applyFont="1" applyFill="1" applyBorder="1" applyAlignment="1">
      <alignment horizontal="center" vertical="center"/>
    </xf>
    <xf numFmtId="165" fontId="3" fillId="20" borderId="19" xfId="0" applyNumberFormat="1" applyFont="1" applyFill="1" applyBorder="1" applyAlignment="1">
      <alignment horizontal="center" vertical="center"/>
    </xf>
    <xf numFmtId="165" fontId="2" fillId="20" borderId="10" xfId="0" applyNumberFormat="1" applyFont="1" applyFill="1" applyBorder="1" applyAlignment="1">
      <alignment horizontal="center" vertical="center"/>
    </xf>
    <xf numFmtId="165" fontId="2" fillId="20" borderId="46" xfId="0" applyNumberFormat="1" applyFont="1" applyFill="1" applyBorder="1" applyAlignment="1">
      <alignment horizontal="center"/>
    </xf>
    <xf numFmtId="165" fontId="2" fillId="20" borderId="19" xfId="0" applyNumberFormat="1" applyFont="1" applyFill="1" applyBorder="1" applyAlignment="1">
      <alignment horizontal="center"/>
    </xf>
    <xf numFmtId="165" fontId="2" fillId="20" borderId="47" xfId="0" applyNumberFormat="1" applyFont="1" applyFill="1" applyBorder="1" applyAlignment="1">
      <alignment horizontal="center"/>
    </xf>
    <xf numFmtId="165" fontId="2" fillId="20" borderId="48" xfId="0" applyNumberFormat="1" applyFont="1" applyFill="1" applyBorder="1" applyAlignment="1">
      <alignment horizontal="center"/>
    </xf>
    <xf numFmtId="165" fontId="2" fillId="20" borderId="7" xfId="0" applyNumberFormat="1" applyFont="1" applyFill="1" applyBorder="1" applyAlignment="1">
      <alignment horizontal="center"/>
    </xf>
    <xf numFmtId="165" fontId="2" fillId="20" borderId="1" xfId="0" applyNumberFormat="1" applyFont="1" applyFill="1" applyBorder="1" applyAlignment="1">
      <alignment horizontal="center"/>
    </xf>
    <xf numFmtId="165" fontId="3" fillId="20" borderId="7" xfId="0" applyNumberFormat="1" applyFont="1" applyFill="1" applyBorder="1" applyAlignment="1">
      <alignment horizontal="center"/>
    </xf>
    <xf numFmtId="165" fontId="3" fillId="20" borderId="1" xfId="0" applyNumberFormat="1" applyFont="1" applyFill="1" applyBorder="1" applyAlignment="1">
      <alignment horizontal="center"/>
    </xf>
    <xf numFmtId="165" fontId="3" fillId="20" borderId="46" xfId="0" applyNumberFormat="1" applyFont="1" applyFill="1" applyBorder="1" applyAlignment="1">
      <alignment horizontal="center"/>
    </xf>
    <xf numFmtId="165" fontId="2" fillId="0" borderId="0" xfId="0" applyNumberFormat="1" applyFont="1"/>
    <xf numFmtId="164" fontId="2" fillId="16" borderId="47" xfId="0" applyNumberFormat="1" applyFont="1" applyFill="1" applyBorder="1" applyAlignment="1">
      <alignment horizontal="center"/>
    </xf>
    <xf numFmtId="0" fontId="2" fillId="8" borderId="33" xfId="0" applyFont="1" applyFill="1" applyBorder="1" applyAlignment="1">
      <alignment horizontal="center"/>
    </xf>
    <xf numFmtId="0" fontId="2" fillId="9" borderId="36" xfId="0" applyFont="1" applyFill="1" applyBorder="1" applyAlignment="1">
      <alignment horizontal="center"/>
    </xf>
    <xf numFmtId="0" fontId="3" fillId="10" borderId="33" xfId="0" applyFont="1" applyFill="1" applyBorder="1" applyAlignment="1">
      <alignment horizontal="center" vertical="center"/>
    </xf>
    <xf numFmtId="0" fontId="6" fillId="18" borderId="36" xfId="0" applyFont="1" applyFill="1" applyBorder="1" applyAlignment="1">
      <alignment horizontal="center" vertical="center"/>
    </xf>
    <xf numFmtId="165" fontId="3" fillId="17" borderId="19" xfId="0" applyNumberFormat="1" applyFont="1" applyFill="1" applyBorder="1" applyAlignment="1">
      <alignment horizontal="center" vertical="center" wrapText="1"/>
    </xf>
    <xf numFmtId="0" fontId="2" fillId="4" borderId="33" xfId="0" applyFont="1" applyFill="1" applyBorder="1" applyAlignment="1">
      <alignment horizontal="center"/>
    </xf>
    <xf numFmtId="0" fontId="2" fillId="5" borderId="36" xfId="0" applyFont="1" applyFill="1" applyBorder="1" applyAlignment="1">
      <alignment horizontal="center"/>
    </xf>
    <xf numFmtId="0" fontId="2" fillId="3" borderId="36" xfId="0" applyFont="1" applyFill="1" applyBorder="1" applyAlignment="1">
      <alignment horizontal="center"/>
    </xf>
    <xf numFmtId="0" fontId="2" fillId="6" borderId="33" xfId="0" applyFont="1" applyFill="1" applyBorder="1" applyAlignment="1">
      <alignment horizontal="center"/>
    </xf>
    <xf numFmtId="0" fontId="3" fillId="7" borderId="36" xfId="0" applyFont="1" applyFill="1" applyBorder="1" applyAlignment="1">
      <alignment horizontal="center"/>
    </xf>
    <xf numFmtId="0" fontId="2" fillId="2" borderId="36" xfId="0" applyFont="1" applyFill="1" applyBorder="1" applyAlignment="1">
      <alignment horizontal="center"/>
    </xf>
    <xf numFmtId="0" fontId="3" fillId="14" borderId="19" xfId="0" applyFont="1" applyFill="1" applyBorder="1" applyAlignment="1">
      <alignment horizontal="left" vertical="center"/>
    </xf>
    <xf numFmtId="165" fontId="3" fillId="16" borderId="20" xfId="0" applyNumberFormat="1" applyFont="1" applyFill="1" applyBorder="1" applyAlignment="1">
      <alignment horizontal="center" vertical="center"/>
    </xf>
    <xf numFmtId="0" fontId="3" fillId="12" borderId="48" xfId="0" applyFont="1" applyFill="1" applyBorder="1" applyAlignment="1">
      <alignment vertical="center"/>
    </xf>
    <xf numFmtId="165" fontId="3" fillId="12" borderId="48" xfId="0" applyNumberFormat="1" applyFont="1" applyFill="1" applyBorder="1" applyAlignment="1">
      <alignment horizontal="center" vertical="center"/>
    </xf>
    <xf numFmtId="165" fontId="3" fillId="12" borderId="60" xfId="0" applyNumberFormat="1" applyFont="1" applyFill="1" applyBorder="1" applyAlignment="1">
      <alignment horizontal="center" vertical="center"/>
    </xf>
    <xf numFmtId="164" fontId="2" fillId="0" borderId="0" xfId="0" applyNumberFormat="1" applyFont="1" applyAlignment="1">
      <alignment horizontal="center"/>
    </xf>
    <xf numFmtId="165" fontId="2" fillId="0" borderId="0" xfId="0" applyNumberFormat="1" applyFont="1" applyAlignment="1">
      <alignment horizontal="center"/>
    </xf>
    <xf numFmtId="165" fontId="0" fillId="0" borderId="0" xfId="0" applyNumberFormat="1"/>
    <xf numFmtId="0" fontId="3" fillId="12" borderId="36" xfId="0" applyFont="1" applyFill="1" applyBorder="1" applyAlignment="1">
      <alignment vertical="center"/>
    </xf>
    <xf numFmtId="165" fontId="3" fillId="12" borderId="36" xfId="0" applyNumberFormat="1" applyFont="1" applyFill="1" applyBorder="1" applyAlignment="1">
      <alignment horizontal="center" vertical="center"/>
    </xf>
    <xf numFmtId="165" fontId="3" fillId="12" borderId="33" xfId="0" applyNumberFormat="1" applyFont="1" applyFill="1" applyBorder="1" applyAlignment="1">
      <alignment horizontal="center" vertical="center"/>
    </xf>
    <xf numFmtId="9" fontId="3" fillId="12" borderId="21" xfId="1" applyFont="1" applyFill="1" applyBorder="1" applyAlignment="1">
      <alignment horizontal="center" vertical="center"/>
    </xf>
    <xf numFmtId="9" fontId="3" fillId="20" borderId="16" xfId="1" applyFont="1" applyFill="1" applyBorder="1" applyAlignment="1">
      <alignment horizontal="center" vertical="center"/>
    </xf>
    <xf numFmtId="9" fontId="3" fillId="20" borderId="21" xfId="1" applyFont="1" applyFill="1" applyBorder="1" applyAlignment="1">
      <alignment horizontal="center" vertical="center"/>
    </xf>
    <xf numFmtId="9" fontId="2" fillId="0" borderId="0" xfId="1" applyFont="1"/>
    <xf numFmtId="164" fontId="6" fillId="19" borderId="55" xfId="0" applyNumberFormat="1" applyFont="1" applyFill="1" applyBorder="1" applyAlignment="1">
      <alignment horizontal="center"/>
    </xf>
    <xf numFmtId="164" fontId="6" fillId="19" borderId="54" xfId="0" applyNumberFormat="1" applyFont="1" applyFill="1" applyBorder="1" applyAlignment="1">
      <alignment horizontal="center"/>
    </xf>
    <xf numFmtId="164" fontId="6" fillId="19" borderId="28" xfId="0" applyNumberFormat="1" applyFont="1" applyFill="1" applyBorder="1" applyAlignment="1">
      <alignment horizontal="center"/>
    </xf>
    <xf numFmtId="164" fontId="6" fillId="19" borderId="36" xfId="0" applyNumberFormat="1" applyFont="1" applyFill="1" applyBorder="1" applyAlignment="1">
      <alignment horizontal="center" vertical="center"/>
    </xf>
    <xf numFmtId="164" fontId="4" fillId="19" borderId="0" xfId="0" applyNumberFormat="1" applyFont="1" applyFill="1"/>
    <xf numFmtId="164" fontId="3" fillId="0" borderId="0" xfId="0" applyNumberFormat="1" applyFont="1" applyFill="1"/>
    <xf numFmtId="0" fontId="2" fillId="0" borderId="0" xfId="0" applyFont="1" applyBorder="1"/>
    <xf numFmtId="9" fontId="3" fillId="14" borderId="22" xfId="1" applyFont="1" applyFill="1" applyBorder="1" applyAlignment="1">
      <alignment horizontal="center" vertical="center" wrapText="1"/>
    </xf>
    <xf numFmtId="9" fontId="2" fillId="14" borderId="39" xfId="1" applyFont="1" applyFill="1" applyBorder="1" applyAlignment="1">
      <alignment horizontal="center"/>
    </xf>
    <xf numFmtId="9" fontId="2" fillId="14" borderId="3" xfId="1" applyFont="1" applyFill="1" applyBorder="1" applyAlignment="1">
      <alignment horizontal="center"/>
    </xf>
    <xf numFmtId="9" fontId="2" fillId="14" borderId="50" xfId="1" applyFont="1" applyFill="1" applyBorder="1" applyAlignment="1">
      <alignment horizontal="center"/>
    </xf>
    <xf numFmtId="9" fontId="2" fillId="14" borderId="45" xfId="1" applyFont="1" applyFill="1" applyBorder="1" applyAlignment="1">
      <alignment horizontal="center"/>
    </xf>
    <xf numFmtId="9" fontId="2" fillId="14" borderId="25" xfId="1" applyFont="1" applyFill="1" applyBorder="1" applyAlignment="1">
      <alignment horizontal="center"/>
    </xf>
    <xf numFmtId="9" fontId="2" fillId="14" borderId="38" xfId="1" applyFont="1" applyFill="1" applyBorder="1" applyAlignment="1">
      <alignment horizontal="center"/>
    </xf>
    <xf numFmtId="9" fontId="2" fillId="14" borderId="28" xfId="1" applyFont="1" applyFill="1" applyBorder="1" applyAlignment="1">
      <alignment horizontal="center"/>
    </xf>
    <xf numFmtId="9" fontId="2" fillId="17" borderId="47" xfId="1" applyFont="1" applyFill="1" applyBorder="1" applyAlignment="1">
      <alignment horizontal="center"/>
    </xf>
    <xf numFmtId="9" fontId="3" fillId="13" borderId="41" xfId="1" applyFont="1" applyFill="1" applyBorder="1" applyAlignment="1">
      <alignment horizontal="center" vertical="center"/>
    </xf>
    <xf numFmtId="9" fontId="2" fillId="13" borderId="24" xfId="1" applyFont="1" applyFill="1" applyBorder="1" applyAlignment="1">
      <alignment horizontal="center"/>
    </xf>
    <xf numFmtId="9" fontId="2" fillId="13" borderId="2" xfId="1" applyFont="1" applyFill="1" applyBorder="1" applyAlignment="1">
      <alignment horizontal="center"/>
    </xf>
    <xf numFmtId="9" fontId="2" fillId="13" borderId="23" xfId="1" applyFont="1" applyFill="1" applyBorder="1" applyAlignment="1">
      <alignment horizontal="center"/>
    </xf>
    <xf numFmtId="9" fontId="2" fillId="13" borderId="49" xfId="1" applyFont="1" applyFill="1" applyBorder="1" applyAlignment="1">
      <alignment horizontal="center"/>
    </xf>
    <xf numFmtId="9" fontId="2" fillId="13" borderId="4" xfId="1" applyFont="1" applyFill="1" applyBorder="1" applyAlignment="1">
      <alignment horizontal="center"/>
    </xf>
    <xf numFmtId="9" fontId="2" fillId="13" borderId="20" xfId="1" applyFont="1" applyFill="1" applyBorder="1" applyAlignment="1">
      <alignment horizontal="center"/>
    </xf>
    <xf numFmtId="9" fontId="2" fillId="13" borderId="12" xfId="1" applyFont="1" applyFill="1" applyBorder="1" applyAlignment="1">
      <alignment horizontal="center"/>
    </xf>
    <xf numFmtId="9" fontId="2" fillId="15" borderId="12" xfId="1" applyFont="1" applyFill="1" applyBorder="1" applyAlignment="1">
      <alignment horizontal="center"/>
    </xf>
    <xf numFmtId="9" fontId="2" fillId="11" borderId="7" xfId="1" applyFont="1" applyFill="1" applyBorder="1" applyAlignment="1">
      <alignment horizontal="center"/>
    </xf>
    <xf numFmtId="9" fontId="2" fillId="11" borderId="9" xfId="1" applyFont="1" applyFill="1" applyBorder="1" applyAlignment="1">
      <alignment horizontal="center"/>
    </xf>
    <xf numFmtId="9" fontId="2" fillId="11" borderId="1" xfId="1" applyFont="1" applyFill="1" applyBorder="1" applyAlignment="1">
      <alignment horizontal="center"/>
    </xf>
    <xf numFmtId="9" fontId="2" fillId="11" borderId="22" xfId="1" applyFont="1" applyFill="1" applyBorder="1" applyAlignment="1">
      <alignment horizontal="center"/>
    </xf>
    <xf numFmtId="9" fontId="2" fillId="11" borderId="8" xfId="1" applyFont="1" applyFill="1" applyBorder="1" applyAlignment="1">
      <alignment horizontal="center"/>
    </xf>
    <xf numFmtId="9" fontId="2" fillId="11" borderId="19" xfId="1" applyFont="1" applyFill="1" applyBorder="1" applyAlignment="1">
      <alignment horizontal="center"/>
    </xf>
    <xf numFmtId="9" fontId="2" fillId="11" borderId="46" xfId="1" applyFont="1" applyFill="1" applyBorder="1" applyAlignment="1">
      <alignment horizontal="center"/>
    </xf>
    <xf numFmtId="9" fontId="2" fillId="16" borderId="46" xfId="1" applyFont="1" applyFill="1" applyBorder="1" applyAlignment="1">
      <alignment horizontal="center"/>
    </xf>
    <xf numFmtId="9" fontId="2" fillId="11" borderId="21" xfId="1" applyFont="1" applyFill="1" applyBorder="1" applyAlignment="1">
      <alignment horizontal="center"/>
    </xf>
    <xf numFmtId="9" fontId="2" fillId="11" borderId="18" xfId="1" applyFont="1" applyFill="1" applyBorder="1" applyAlignment="1">
      <alignment horizontal="center"/>
    </xf>
    <xf numFmtId="9" fontId="2" fillId="16" borderId="18" xfId="1" applyFont="1" applyFill="1" applyBorder="1" applyAlignment="1">
      <alignment horizontal="center"/>
    </xf>
    <xf numFmtId="165" fontId="6" fillId="19" borderId="26" xfId="0" applyNumberFormat="1" applyFont="1" applyFill="1" applyBorder="1" applyAlignment="1">
      <alignment horizontal="center" vertical="center"/>
    </xf>
    <xf numFmtId="0" fontId="0" fillId="0" borderId="0" xfId="0" applyFill="1" applyBorder="1"/>
    <xf numFmtId="0" fontId="2" fillId="0" borderId="0" xfId="0" applyFont="1" applyFill="1" applyBorder="1" applyAlignment="1">
      <alignment horizontal="center"/>
    </xf>
    <xf numFmtId="0" fontId="15" fillId="0" borderId="0" xfId="0" applyFont="1" applyFill="1" applyBorder="1"/>
    <xf numFmtId="0" fontId="10" fillId="0" borderId="0" xfId="0" applyFont="1" applyFill="1" applyBorder="1" applyAlignment="1">
      <alignment horizontal="center"/>
    </xf>
    <xf numFmtId="0" fontId="9" fillId="0" borderId="0" xfId="0" applyFont="1" applyFill="1" applyBorder="1" applyAlignment="1">
      <alignment horizontal="center"/>
    </xf>
    <xf numFmtId="0" fontId="5" fillId="0" borderId="0" xfId="0" applyFont="1" applyFill="1" applyBorder="1" applyAlignment="1">
      <alignment horizontal="center"/>
    </xf>
    <xf numFmtId="0" fontId="11" fillId="0" borderId="0" xfId="0" applyFont="1" applyFill="1" applyBorder="1" applyAlignment="1">
      <alignment horizontal="center"/>
    </xf>
    <xf numFmtId="0" fontId="3" fillId="0" borderId="0" xfId="0" applyFont="1" applyFill="1" applyBorder="1" applyAlignment="1">
      <alignment horizontal="center" vertical="center"/>
    </xf>
    <xf numFmtId="165" fontId="3" fillId="0" borderId="0" xfId="0" applyNumberFormat="1" applyFont="1" applyFill="1" applyBorder="1" applyAlignment="1">
      <alignment horizontal="center" vertical="center" wrapText="1"/>
    </xf>
    <xf numFmtId="9" fontId="3" fillId="0" borderId="0" xfId="1" applyFont="1" applyFill="1" applyBorder="1" applyAlignment="1">
      <alignment horizontal="center" vertical="center" wrapText="1"/>
    </xf>
    <xf numFmtId="165" fontId="3" fillId="0" borderId="0" xfId="0" applyNumberFormat="1" applyFont="1" applyFill="1" applyBorder="1" applyAlignment="1">
      <alignment horizontal="center" vertical="center"/>
    </xf>
    <xf numFmtId="9" fontId="3" fillId="0" borderId="0" xfId="1" applyFont="1" applyFill="1" applyBorder="1" applyAlignment="1">
      <alignment horizontal="center" vertical="center"/>
    </xf>
    <xf numFmtId="0" fontId="3" fillId="0" borderId="0" xfId="0" applyFont="1" applyFill="1" applyBorder="1" applyAlignment="1">
      <alignment horizontal="left" vertical="center" wrapText="1"/>
    </xf>
    <xf numFmtId="0" fontId="3" fillId="0" borderId="0" xfId="0" applyFont="1" applyFill="1" applyBorder="1" applyAlignment="1">
      <alignment horizontal="left" vertical="center"/>
    </xf>
    <xf numFmtId="0" fontId="2" fillId="0" borderId="0" xfId="0" applyFont="1" applyFill="1" applyBorder="1" applyAlignment="1"/>
    <xf numFmtId="0" fontId="3" fillId="0" borderId="0" xfId="0" applyFont="1" applyFill="1" applyBorder="1" applyAlignment="1"/>
    <xf numFmtId="164" fontId="4" fillId="19" borderId="21" xfId="0" applyNumberFormat="1" applyFont="1" applyFill="1" applyBorder="1" applyAlignment="1">
      <alignment horizontal="center" vertical="center"/>
    </xf>
    <xf numFmtId="164" fontId="4" fillId="19" borderId="48" xfId="0" applyNumberFormat="1" applyFont="1" applyFill="1" applyBorder="1" applyAlignment="1">
      <alignment horizontal="center" vertical="center"/>
    </xf>
    <xf numFmtId="9" fontId="4" fillId="19" borderId="21" xfId="1" applyFont="1" applyFill="1" applyBorder="1" applyAlignment="1">
      <alignment horizontal="center" vertical="center"/>
    </xf>
    <xf numFmtId="164" fontId="6" fillId="19" borderId="42" xfId="0" applyNumberFormat="1" applyFont="1" applyFill="1" applyBorder="1" applyAlignment="1">
      <alignment horizontal="center" vertical="center"/>
    </xf>
    <xf numFmtId="164" fontId="6" fillId="19" borderId="55" xfId="0" applyNumberFormat="1" applyFont="1" applyFill="1" applyBorder="1" applyAlignment="1">
      <alignment horizontal="center" vertical="center"/>
    </xf>
    <xf numFmtId="165" fontId="3" fillId="20" borderId="61" xfId="0" applyNumberFormat="1" applyFont="1" applyFill="1" applyBorder="1" applyAlignment="1">
      <alignment horizontal="center" vertical="center"/>
    </xf>
    <xf numFmtId="165" fontId="3" fillId="20" borderId="61" xfId="0" applyNumberFormat="1" applyFont="1" applyFill="1" applyBorder="1" applyAlignment="1">
      <alignment horizontal="center" vertical="center"/>
    </xf>
    <xf numFmtId="165" fontId="3" fillId="20" borderId="47" xfId="0" applyNumberFormat="1" applyFont="1" applyFill="1" applyBorder="1" applyAlignment="1">
      <alignment horizontal="center" vertical="center"/>
    </xf>
    <xf numFmtId="165" fontId="3" fillId="20" borderId="43" xfId="0" applyNumberFormat="1" applyFont="1" applyFill="1" applyBorder="1" applyAlignment="1">
      <alignment horizontal="center" vertical="center"/>
    </xf>
    <xf numFmtId="165" fontId="3" fillId="20" borderId="44" xfId="0" applyNumberFormat="1" applyFont="1" applyFill="1" applyBorder="1" applyAlignment="1">
      <alignment horizontal="center" vertical="center"/>
    </xf>
    <xf numFmtId="165" fontId="3" fillId="20" borderId="60" xfId="0" applyNumberFormat="1" applyFont="1" applyFill="1" applyBorder="1" applyAlignment="1">
      <alignment horizontal="center" vertical="center"/>
    </xf>
    <xf numFmtId="165" fontId="3" fillId="12" borderId="56" xfId="0" applyNumberFormat="1" applyFont="1" applyFill="1" applyBorder="1" applyAlignment="1">
      <alignment horizontal="center" vertical="center"/>
    </xf>
    <xf numFmtId="165" fontId="3" fillId="12" borderId="55" xfId="0" applyNumberFormat="1" applyFont="1" applyFill="1" applyBorder="1" applyAlignment="1">
      <alignment horizontal="center" vertical="center"/>
    </xf>
    <xf numFmtId="165" fontId="3" fillId="12" borderId="57" xfId="0" applyNumberFormat="1" applyFont="1" applyFill="1" applyBorder="1" applyAlignment="1">
      <alignment horizontal="center" vertical="center"/>
    </xf>
    <xf numFmtId="0" fontId="3" fillId="10" borderId="8" xfId="0" applyFont="1" applyFill="1" applyBorder="1" applyAlignment="1">
      <alignment horizontal="center" vertical="center"/>
    </xf>
    <xf numFmtId="0" fontId="3" fillId="10" borderId="9" xfId="0" applyFont="1" applyFill="1" applyBorder="1" applyAlignment="1">
      <alignment horizontal="center" vertical="center"/>
    </xf>
    <xf numFmtId="0" fontId="6" fillId="18" borderId="19" xfId="0" applyFont="1" applyFill="1" applyBorder="1" applyAlignment="1">
      <alignment horizontal="center" vertical="center"/>
    </xf>
    <xf numFmtId="0" fontId="6" fillId="18" borderId="21" xfId="0" applyFont="1" applyFill="1" applyBorder="1" applyAlignment="1">
      <alignment horizontal="center" vertical="center"/>
    </xf>
    <xf numFmtId="165" fontId="3" fillId="11" borderId="24" xfId="0" applyNumberFormat="1" applyFont="1" applyFill="1" applyBorder="1" applyAlignment="1">
      <alignment horizontal="center" vertical="center"/>
    </xf>
    <xf numFmtId="165" fontId="3" fillId="11" borderId="23" xfId="0" applyNumberFormat="1" applyFont="1" applyFill="1" applyBorder="1" applyAlignment="1">
      <alignment horizontal="center" vertical="center"/>
    </xf>
    <xf numFmtId="165" fontId="3" fillId="11" borderId="49" xfId="0" applyNumberFormat="1" applyFont="1" applyFill="1" applyBorder="1" applyAlignment="1">
      <alignment horizontal="center" vertical="center"/>
    </xf>
    <xf numFmtId="165" fontId="3" fillId="11" borderId="4" xfId="0" applyNumberFormat="1" applyFont="1" applyFill="1" applyBorder="1" applyAlignment="1">
      <alignment horizontal="center" vertical="center"/>
    </xf>
    <xf numFmtId="165" fontId="3" fillId="11" borderId="2" xfId="0" applyNumberFormat="1" applyFont="1" applyFill="1" applyBorder="1" applyAlignment="1">
      <alignment horizontal="center" vertical="center"/>
    </xf>
    <xf numFmtId="0" fontId="2" fillId="2" borderId="7" xfId="0" applyFont="1" applyFill="1" applyBorder="1" applyAlignment="1">
      <alignment horizontal="center"/>
    </xf>
    <xf numFmtId="0" fontId="2" fillId="2" borderId="9" xfId="0" applyFont="1" applyFill="1" applyBorder="1" applyAlignment="1">
      <alignment horizontal="center"/>
    </xf>
    <xf numFmtId="0" fontId="2" fillId="3" borderId="7" xfId="0" applyFont="1" applyFill="1" applyBorder="1" applyAlignment="1">
      <alignment horizontal="center"/>
    </xf>
    <xf numFmtId="0" fontId="2" fillId="3" borderId="22" xfId="0" applyFont="1" applyFill="1" applyBorder="1" applyAlignment="1">
      <alignment horizontal="center"/>
    </xf>
    <xf numFmtId="0" fontId="2" fillId="4" borderId="8" xfId="0" applyFont="1" applyFill="1" applyBorder="1" applyAlignment="1">
      <alignment horizontal="center"/>
    </xf>
    <xf numFmtId="0" fontId="2" fillId="4" borderId="1" xfId="0" applyFont="1" applyFill="1" applyBorder="1" applyAlignment="1">
      <alignment horizontal="center"/>
    </xf>
    <xf numFmtId="0" fontId="2" fillId="4" borderId="9" xfId="0" applyFont="1" applyFill="1" applyBorder="1" applyAlignment="1">
      <alignment horizontal="center"/>
    </xf>
    <xf numFmtId="0" fontId="2" fillId="5" borderId="7" xfId="0" applyFont="1" applyFill="1" applyBorder="1" applyAlignment="1">
      <alignment horizontal="center"/>
    </xf>
    <xf numFmtId="0" fontId="2" fillId="5" borderId="22" xfId="0" applyFont="1" applyFill="1" applyBorder="1" applyAlignment="1">
      <alignment horizontal="center"/>
    </xf>
    <xf numFmtId="0" fontId="2" fillId="6" borderId="8" xfId="0" applyFont="1" applyFill="1" applyBorder="1" applyAlignment="1">
      <alignment horizontal="center"/>
    </xf>
    <xf numFmtId="0" fontId="2" fillId="6" borderId="9" xfId="0" applyFont="1" applyFill="1" applyBorder="1" applyAlignment="1">
      <alignment horizontal="center"/>
    </xf>
    <xf numFmtId="0" fontId="3" fillId="7" borderId="7" xfId="0" applyFont="1" applyFill="1" applyBorder="1" applyAlignment="1">
      <alignment horizontal="center"/>
    </xf>
    <xf numFmtId="0" fontId="3" fillId="7" borderId="1" xfId="0" applyFont="1" applyFill="1" applyBorder="1" applyAlignment="1">
      <alignment horizontal="center"/>
    </xf>
    <xf numFmtId="0" fontId="3" fillId="7" borderId="22" xfId="0" applyFont="1" applyFill="1" applyBorder="1" applyAlignment="1">
      <alignment horizontal="center"/>
    </xf>
    <xf numFmtId="165" fontId="3" fillId="11" borderId="13" xfId="0" applyNumberFormat="1" applyFont="1" applyFill="1" applyBorder="1" applyAlignment="1">
      <alignment horizontal="center" vertical="center"/>
    </xf>
    <xf numFmtId="165" fontId="3" fillId="11" borderId="16" xfId="0" applyNumberFormat="1" applyFont="1" applyFill="1" applyBorder="1" applyAlignment="1">
      <alignment horizontal="center" vertical="center"/>
    </xf>
    <xf numFmtId="165" fontId="3" fillId="11" borderId="18" xfId="0" applyNumberFormat="1" applyFont="1" applyFill="1" applyBorder="1" applyAlignment="1">
      <alignment horizontal="center" vertical="center"/>
    </xf>
    <xf numFmtId="165" fontId="3" fillId="12" borderId="53" xfId="0" applyNumberFormat="1" applyFont="1" applyFill="1" applyBorder="1" applyAlignment="1">
      <alignment horizontal="center" vertical="center"/>
    </xf>
    <xf numFmtId="165" fontId="3" fillId="12" borderId="52" xfId="0" applyNumberFormat="1" applyFont="1" applyFill="1" applyBorder="1" applyAlignment="1">
      <alignment horizontal="center" vertical="center"/>
    </xf>
    <xf numFmtId="165" fontId="3" fillId="12" borderId="54" xfId="0" applyNumberFormat="1" applyFont="1" applyFill="1" applyBorder="1" applyAlignment="1">
      <alignment horizontal="center" vertical="center"/>
    </xf>
    <xf numFmtId="165" fontId="3" fillId="12" borderId="0" xfId="0" applyNumberFormat="1" applyFont="1" applyFill="1" applyBorder="1" applyAlignment="1">
      <alignment horizontal="center" vertical="center"/>
    </xf>
    <xf numFmtId="0" fontId="3" fillId="12" borderId="13" xfId="0" applyFont="1" applyFill="1" applyBorder="1" applyAlignment="1">
      <alignment horizontal="center" vertical="center"/>
    </xf>
    <xf numFmtId="0" fontId="3" fillId="12" borderId="16" xfId="0" applyFont="1" applyFill="1" applyBorder="1" applyAlignment="1">
      <alignment horizontal="center" vertical="center"/>
    </xf>
    <xf numFmtId="0" fontId="3" fillId="12" borderId="18" xfId="0" applyFont="1" applyFill="1" applyBorder="1" applyAlignment="1">
      <alignment horizontal="center" vertical="center"/>
    </xf>
    <xf numFmtId="165" fontId="3" fillId="12" borderId="27" xfId="0" applyNumberFormat="1" applyFont="1" applyFill="1" applyBorder="1" applyAlignment="1">
      <alignment horizontal="center" vertical="center"/>
    </xf>
    <xf numFmtId="165" fontId="3" fillId="12" borderId="6" xfId="0" applyNumberFormat="1" applyFont="1" applyFill="1" applyBorder="1" applyAlignment="1">
      <alignment horizontal="center" vertical="center"/>
    </xf>
    <xf numFmtId="165" fontId="3" fillId="12" borderId="28" xfId="0" applyNumberFormat="1" applyFont="1" applyFill="1" applyBorder="1" applyAlignment="1">
      <alignment horizontal="center" vertical="center"/>
    </xf>
    <xf numFmtId="9" fontId="3" fillId="11" borderId="13" xfId="1" applyFont="1" applyFill="1" applyBorder="1" applyAlignment="1">
      <alignment horizontal="center" vertical="center"/>
    </xf>
    <xf numFmtId="9" fontId="3" fillId="11" borderId="18" xfId="1" applyFont="1" applyFill="1" applyBorder="1" applyAlignment="1">
      <alignment horizontal="center" vertical="center"/>
    </xf>
    <xf numFmtId="9" fontId="3" fillId="11" borderId="16" xfId="1" applyFont="1" applyFill="1" applyBorder="1" applyAlignment="1">
      <alignment horizontal="center" vertical="center"/>
    </xf>
    <xf numFmtId="0" fontId="2" fillId="0" borderId="0" xfId="0" applyFont="1" applyAlignment="1">
      <alignment horizontal="center"/>
    </xf>
    <xf numFmtId="165" fontId="3" fillId="20" borderId="61" xfId="0" applyNumberFormat="1" applyFont="1" applyFill="1" applyBorder="1" applyAlignment="1">
      <alignment horizontal="center"/>
    </xf>
    <xf numFmtId="165" fontId="3" fillId="20" borderId="60" xfId="0" applyNumberFormat="1" applyFont="1" applyFill="1" applyBorder="1" applyAlignment="1">
      <alignment horizontal="center"/>
    </xf>
    <xf numFmtId="165" fontId="3" fillId="20" borderId="47" xfId="0" applyNumberFormat="1" applyFont="1" applyFill="1" applyBorder="1" applyAlignment="1">
      <alignment horizontal="center"/>
    </xf>
    <xf numFmtId="165" fontId="2" fillId="20" borderId="61" xfId="0" applyNumberFormat="1" applyFont="1" applyFill="1" applyBorder="1" applyAlignment="1">
      <alignment horizontal="center"/>
    </xf>
    <xf numFmtId="165" fontId="2" fillId="20" borderId="60" xfId="0" applyNumberFormat="1" applyFont="1" applyFill="1" applyBorder="1" applyAlignment="1">
      <alignment horizontal="center"/>
    </xf>
    <xf numFmtId="165" fontId="2" fillId="20" borderId="47" xfId="0" applyNumberFormat="1" applyFont="1" applyFill="1" applyBorder="1" applyAlignment="1">
      <alignment horizontal="center"/>
    </xf>
    <xf numFmtId="164" fontId="2" fillId="20" borderId="61" xfId="0" applyNumberFormat="1" applyFont="1" applyFill="1" applyBorder="1" applyAlignment="1">
      <alignment horizontal="center"/>
    </xf>
    <xf numFmtId="164" fontId="2" fillId="20" borderId="60" xfId="0" applyNumberFormat="1" applyFont="1" applyFill="1" applyBorder="1" applyAlignment="1">
      <alignment horizontal="center"/>
    </xf>
    <xf numFmtId="164" fontId="2" fillId="20" borderId="47" xfId="0" applyNumberFormat="1" applyFont="1" applyFill="1" applyBorder="1" applyAlignment="1">
      <alignment horizontal="center"/>
    </xf>
    <xf numFmtId="164" fontId="2" fillId="12" borderId="56" xfId="0" applyNumberFormat="1" applyFont="1" applyFill="1" applyBorder="1" applyAlignment="1">
      <alignment horizontal="center"/>
    </xf>
    <xf numFmtId="164" fontId="2" fillId="12" borderId="57" xfId="0" applyNumberFormat="1" applyFont="1" applyFill="1" applyBorder="1" applyAlignment="1">
      <alignment horizontal="center"/>
    </xf>
    <xf numFmtId="164" fontId="2" fillId="12" borderId="55" xfId="0" applyNumberFormat="1" applyFont="1" applyFill="1" applyBorder="1" applyAlignment="1">
      <alignment horizontal="center"/>
    </xf>
    <xf numFmtId="165" fontId="2" fillId="12" borderId="56" xfId="0" applyNumberFormat="1" applyFont="1" applyFill="1" applyBorder="1" applyAlignment="1">
      <alignment horizontal="center"/>
    </xf>
    <xf numFmtId="165" fontId="2" fillId="12" borderId="57" xfId="0" applyNumberFormat="1" applyFont="1" applyFill="1" applyBorder="1" applyAlignment="1">
      <alignment horizontal="center"/>
    </xf>
    <xf numFmtId="165" fontId="2" fillId="12" borderId="55" xfId="0" applyNumberFormat="1" applyFont="1" applyFill="1" applyBorder="1" applyAlignment="1">
      <alignment horizontal="center"/>
    </xf>
    <xf numFmtId="0" fontId="6" fillId="18" borderId="46" xfId="0" applyFont="1" applyFill="1" applyBorder="1" applyAlignment="1">
      <alignment horizontal="center" vertical="center"/>
    </xf>
    <xf numFmtId="0" fontId="6" fillId="18" borderId="12" xfId="0" applyFont="1" applyFill="1" applyBorder="1" applyAlignment="1">
      <alignment horizontal="center" vertical="center"/>
    </xf>
    <xf numFmtId="165" fontId="2" fillId="11" borderId="13" xfId="0" applyNumberFormat="1" applyFont="1" applyFill="1" applyBorder="1" applyAlignment="1">
      <alignment horizontal="center"/>
    </xf>
    <xf numFmtId="165" fontId="2" fillId="11" borderId="18" xfId="0" applyNumberFormat="1" applyFont="1" applyFill="1" applyBorder="1" applyAlignment="1">
      <alignment horizontal="center"/>
    </xf>
    <xf numFmtId="165" fontId="2" fillId="11" borderId="16" xfId="0" applyNumberFormat="1" applyFont="1" applyFill="1" applyBorder="1" applyAlignment="1">
      <alignment horizontal="center"/>
    </xf>
    <xf numFmtId="0" fontId="11" fillId="10" borderId="7" xfId="0" applyFont="1" applyFill="1" applyBorder="1" applyAlignment="1">
      <alignment horizontal="center" vertical="center"/>
    </xf>
    <xf numFmtId="0" fontId="11" fillId="10" borderId="1" xfId="0" applyFont="1" applyFill="1" applyBorder="1" applyAlignment="1">
      <alignment horizontal="center" vertical="center"/>
    </xf>
    <xf numFmtId="0" fontId="11" fillId="10" borderId="9" xfId="0" applyFont="1" applyFill="1" applyBorder="1" applyAlignment="1">
      <alignment horizontal="center" vertical="center"/>
    </xf>
    <xf numFmtId="0" fontId="9" fillId="2" borderId="7" xfId="0" applyFont="1" applyFill="1" applyBorder="1" applyAlignment="1">
      <alignment horizontal="center"/>
    </xf>
    <xf numFmtId="0" fontId="9" fillId="2" borderId="1" xfId="0" applyFont="1" applyFill="1" applyBorder="1" applyAlignment="1">
      <alignment horizontal="center"/>
    </xf>
    <xf numFmtId="0" fontId="9" fillId="2" borderId="22" xfId="0" applyFont="1" applyFill="1" applyBorder="1" applyAlignment="1">
      <alignment horizontal="center"/>
    </xf>
    <xf numFmtId="0" fontId="10" fillId="2" borderId="7" xfId="0" applyFont="1" applyFill="1" applyBorder="1" applyAlignment="1">
      <alignment horizontal="center"/>
    </xf>
    <xf numFmtId="0" fontId="10" fillId="2" borderId="9" xfId="0" applyFont="1" applyFill="1" applyBorder="1" applyAlignment="1">
      <alignment horizontal="center"/>
    </xf>
    <xf numFmtId="0" fontId="10" fillId="3" borderId="7" xfId="0" applyFont="1" applyFill="1" applyBorder="1" applyAlignment="1">
      <alignment horizontal="center"/>
    </xf>
    <xf numFmtId="0" fontId="10" fillId="3" borderId="1" xfId="0" applyFont="1" applyFill="1" applyBorder="1" applyAlignment="1">
      <alignment horizontal="center"/>
    </xf>
    <xf numFmtId="0" fontId="10" fillId="3" borderId="22" xfId="0" applyFont="1" applyFill="1" applyBorder="1" applyAlignment="1">
      <alignment horizontal="center"/>
    </xf>
    <xf numFmtId="0" fontId="5" fillId="10" borderId="8" xfId="0" applyFont="1" applyFill="1" applyBorder="1" applyAlignment="1">
      <alignment horizontal="center" vertical="center"/>
    </xf>
    <xf numFmtId="0" fontId="5" fillId="10" borderId="1" xfId="0" applyFont="1" applyFill="1" applyBorder="1" applyAlignment="1">
      <alignment horizontal="center" vertical="center"/>
    </xf>
    <xf numFmtId="0" fontId="5" fillId="10" borderId="9" xfId="0" applyFont="1" applyFill="1" applyBorder="1" applyAlignment="1">
      <alignment horizontal="center" vertical="center"/>
    </xf>
    <xf numFmtId="0" fontId="9" fillId="3" borderId="8" xfId="0" applyFont="1" applyFill="1" applyBorder="1" applyAlignment="1">
      <alignment horizontal="center"/>
    </xf>
    <xf numFmtId="0" fontId="9" fillId="3" borderId="9" xfId="0" applyFont="1" applyFill="1" applyBorder="1" applyAlignment="1">
      <alignment horizontal="center"/>
    </xf>
    <xf numFmtId="165" fontId="2" fillId="12" borderId="52" xfId="0" applyNumberFormat="1" applyFont="1" applyFill="1" applyBorder="1" applyAlignment="1">
      <alignment horizontal="center"/>
    </xf>
    <xf numFmtId="165" fontId="2" fillId="12" borderId="53" xfId="0" applyNumberFormat="1" applyFont="1" applyFill="1" applyBorder="1" applyAlignment="1">
      <alignment horizontal="center"/>
    </xf>
    <xf numFmtId="165" fontId="2" fillId="12" borderId="54" xfId="0" applyNumberFormat="1" applyFont="1" applyFill="1" applyBorder="1" applyAlignment="1">
      <alignment horizontal="center"/>
    </xf>
    <xf numFmtId="0" fontId="6" fillId="18" borderId="47" xfId="0" applyFont="1" applyFill="1" applyBorder="1" applyAlignment="1">
      <alignment horizontal="center" vertical="center"/>
    </xf>
    <xf numFmtId="0" fontId="3" fillId="0" borderId="0" xfId="0" applyFont="1" applyFill="1" applyBorder="1" applyAlignment="1">
      <alignment horizontal="center" vertical="center"/>
    </xf>
    <xf numFmtId="164" fontId="2" fillId="12" borderId="52" xfId="0" applyNumberFormat="1" applyFont="1" applyFill="1" applyBorder="1" applyAlignment="1">
      <alignment horizontal="center"/>
    </xf>
    <xf numFmtId="164" fontId="2" fillId="12" borderId="53" xfId="0" applyNumberFormat="1" applyFont="1" applyFill="1" applyBorder="1" applyAlignment="1">
      <alignment horizontal="center"/>
    </xf>
    <xf numFmtId="164" fontId="2" fillId="12" borderId="54" xfId="0" applyNumberFormat="1" applyFont="1" applyFill="1" applyBorder="1" applyAlignment="1">
      <alignment horizontal="center"/>
    </xf>
    <xf numFmtId="165" fontId="2" fillId="12" borderId="13" xfId="0" applyNumberFormat="1" applyFont="1" applyFill="1" applyBorder="1" applyAlignment="1">
      <alignment horizontal="center"/>
    </xf>
    <xf numFmtId="165" fontId="2" fillId="12" borderId="16" xfId="0" applyNumberFormat="1" applyFont="1" applyFill="1" applyBorder="1" applyAlignment="1">
      <alignment horizontal="center"/>
    </xf>
    <xf numFmtId="165" fontId="2" fillId="12" borderId="18" xfId="0" applyNumberFormat="1" applyFont="1" applyFill="1" applyBorder="1" applyAlignment="1">
      <alignment horizontal="center"/>
    </xf>
    <xf numFmtId="165" fontId="2" fillId="12" borderId="51" xfId="0" applyNumberFormat="1" applyFont="1" applyFill="1" applyBorder="1" applyAlignment="1">
      <alignment horizontal="center"/>
    </xf>
    <xf numFmtId="165" fontId="2" fillId="12" borderId="46" xfId="0" applyNumberFormat="1" applyFont="1" applyFill="1" applyBorder="1" applyAlignment="1">
      <alignment horizontal="center"/>
    </xf>
    <xf numFmtId="165" fontId="2" fillId="12" borderId="10" xfId="0" applyNumberFormat="1" applyFont="1" applyFill="1" applyBorder="1" applyAlignment="1">
      <alignment horizontal="center"/>
    </xf>
    <xf numFmtId="9" fontId="2" fillId="11" borderId="13" xfId="1" applyFont="1" applyFill="1" applyBorder="1" applyAlignment="1">
      <alignment horizontal="center"/>
    </xf>
    <xf numFmtId="9" fontId="2" fillId="11" borderId="18" xfId="1" applyFont="1" applyFill="1" applyBorder="1" applyAlignment="1">
      <alignment horizontal="center"/>
    </xf>
    <xf numFmtId="9" fontId="2" fillId="11" borderId="16" xfId="1" applyFont="1" applyFill="1" applyBorder="1" applyAlignment="1">
      <alignment horizontal="center"/>
    </xf>
    <xf numFmtId="0" fontId="16" fillId="0" borderId="0" xfId="0" applyFont="1" applyAlignment="1">
      <alignment horizontal="center"/>
    </xf>
    <xf numFmtId="0" fontId="16" fillId="0" borderId="0" xfId="0" applyFont="1"/>
    <xf numFmtId="0" fontId="6" fillId="18" borderId="36" xfId="0" applyFont="1" applyFill="1" applyBorder="1" applyAlignment="1">
      <alignment horizontal="center" vertical="center"/>
    </xf>
    <xf numFmtId="0" fontId="6" fillId="18" borderId="37" xfId="0" applyFont="1" applyFill="1" applyBorder="1" applyAlignment="1">
      <alignment horizontal="center" vertical="center"/>
    </xf>
    <xf numFmtId="165" fontId="4" fillId="19" borderId="26" xfId="0" applyNumberFormat="1" applyFont="1" applyFill="1" applyBorder="1" applyAlignment="1">
      <alignment horizontal="center" vertical="center"/>
    </xf>
    <xf numFmtId="20" fontId="0" fillId="0" borderId="0" xfId="0" applyNumberFormat="1"/>
    <xf numFmtId="0" fontId="2" fillId="2" borderId="56" xfId="0" applyFont="1" applyFill="1" applyBorder="1" applyAlignment="1">
      <alignment horizontal="center"/>
    </xf>
    <xf numFmtId="165" fontId="4" fillId="19" borderId="21" xfId="0" applyNumberFormat="1" applyFont="1" applyFill="1" applyBorder="1" applyAlignment="1">
      <alignment horizontal="center" vertical="center"/>
    </xf>
    <xf numFmtId="165" fontId="4" fillId="19" borderId="42" xfId="0" applyNumberFormat="1" applyFont="1" applyFill="1" applyBorder="1" applyAlignment="1">
      <alignment horizontal="center" vertical="center"/>
    </xf>
    <xf numFmtId="0" fontId="16" fillId="2" borderId="29" xfId="0" applyFont="1" applyFill="1" applyBorder="1" applyAlignment="1">
      <alignment horizontal="center"/>
    </xf>
    <xf numFmtId="165" fontId="3" fillId="12" borderId="13" xfId="0" applyNumberFormat="1" applyFont="1" applyFill="1" applyBorder="1" applyAlignment="1">
      <alignment vertical="center"/>
    </xf>
    <xf numFmtId="0" fontId="3" fillId="11" borderId="52" xfId="0" applyFont="1" applyFill="1" applyBorder="1" applyAlignment="1">
      <alignment vertical="center"/>
    </xf>
    <xf numFmtId="9" fontId="3" fillId="11" borderId="52" xfId="1" applyFont="1" applyFill="1" applyBorder="1" applyAlignment="1">
      <alignment horizontal="center" vertical="center"/>
    </xf>
    <xf numFmtId="9" fontId="3" fillId="16" borderId="42" xfId="1" applyFont="1" applyFill="1" applyBorder="1" applyAlignment="1">
      <alignment horizontal="center" vertical="center"/>
    </xf>
    <xf numFmtId="165" fontId="3" fillId="12" borderId="51" xfId="0" applyNumberFormat="1" applyFont="1" applyFill="1" applyBorder="1" applyAlignment="1">
      <alignment vertical="center"/>
    </xf>
    <xf numFmtId="0" fontId="3" fillId="12" borderId="13" xfId="0" applyFont="1" applyFill="1" applyBorder="1" applyAlignment="1">
      <alignment vertical="center"/>
    </xf>
    <xf numFmtId="165" fontId="3" fillId="12" borderId="52" xfId="0" applyNumberFormat="1" applyFont="1" applyFill="1" applyBorder="1" applyAlignment="1">
      <alignment vertical="center"/>
    </xf>
    <xf numFmtId="0" fontId="3" fillId="12" borderId="52" xfId="0" applyFont="1" applyFill="1" applyBorder="1" applyAlignment="1">
      <alignment vertical="center"/>
    </xf>
    <xf numFmtId="165" fontId="4" fillId="19" borderId="37" xfId="0" applyNumberFormat="1" applyFont="1" applyFill="1" applyBorder="1" applyAlignment="1">
      <alignment horizontal="center" vertical="center"/>
    </xf>
    <xf numFmtId="165" fontId="4" fillId="19" borderId="48" xfId="0" applyNumberFormat="1" applyFont="1" applyFill="1" applyBorder="1" applyAlignment="1">
      <alignment horizontal="center" vertical="center"/>
    </xf>
    <xf numFmtId="165" fontId="3" fillId="12" borderId="27" xfId="0" applyNumberFormat="1" applyFont="1" applyFill="1" applyBorder="1" applyAlignment="1">
      <alignment vertical="center"/>
    </xf>
    <xf numFmtId="165" fontId="3" fillId="11" borderId="52" xfId="0" applyNumberFormat="1" applyFont="1" applyFill="1" applyBorder="1" applyAlignment="1">
      <alignment horizontal="center" vertical="center"/>
    </xf>
    <xf numFmtId="165" fontId="3" fillId="16" borderId="42" xfId="0" applyNumberFormat="1" applyFont="1" applyFill="1" applyBorder="1" applyAlignment="1">
      <alignment horizontal="center" vertical="center"/>
    </xf>
    <xf numFmtId="0" fontId="3" fillId="12" borderId="58" xfId="0" applyFont="1" applyFill="1" applyBorder="1" applyAlignment="1">
      <alignment vertical="center"/>
    </xf>
    <xf numFmtId="165" fontId="3" fillId="20" borderId="51" xfId="0" applyNumberFormat="1" applyFont="1" applyFill="1" applyBorder="1" applyAlignment="1">
      <alignment horizontal="center" vertical="center"/>
    </xf>
    <xf numFmtId="0" fontId="16" fillId="2" borderId="36" xfId="0" applyFont="1" applyFill="1" applyBorder="1" applyAlignment="1">
      <alignment horizontal="center"/>
    </xf>
    <xf numFmtId="0" fontId="2" fillId="2" borderId="37" xfId="0" applyFont="1" applyFill="1" applyBorder="1" applyAlignment="1">
      <alignment horizontal="center"/>
    </xf>
    <xf numFmtId="165" fontId="3" fillId="11" borderId="42" xfId="0" applyNumberFormat="1" applyFont="1" applyFill="1" applyBorder="1" applyAlignment="1">
      <alignment horizontal="center" vertical="center"/>
    </xf>
    <xf numFmtId="165" fontId="3" fillId="12" borderId="21" xfId="0" applyNumberFormat="1" applyFont="1" applyFill="1" applyBorder="1" applyAlignment="1">
      <alignment vertical="center"/>
    </xf>
    <xf numFmtId="165" fontId="3" fillId="12" borderId="42" xfId="0" applyNumberFormat="1" applyFont="1" applyFill="1" applyBorder="1" applyAlignment="1">
      <alignment vertical="center"/>
    </xf>
    <xf numFmtId="165" fontId="3" fillId="12" borderId="19" xfId="0" applyNumberFormat="1" applyFont="1" applyFill="1" applyBorder="1" applyAlignment="1">
      <alignment vertical="center"/>
    </xf>
    <xf numFmtId="9" fontId="3" fillId="11" borderId="42" xfId="1" applyFont="1" applyFill="1" applyBorder="1" applyAlignment="1">
      <alignment horizontal="center" vertical="center"/>
    </xf>
    <xf numFmtId="0" fontId="16" fillId="2" borderId="33" xfId="0" applyFont="1" applyFill="1" applyBorder="1" applyAlignment="1">
      <alignment horizontal="center"/>
    </xf>
    <xf numFmtId="0" fontId="2" fillId="2" borderId="57" xfId="0" applyFont="1" applyFill="1" applyBorder="1" applyAlignment="1">
      <alignment horizontal="center"/>
    </xf>
    <xf numFmtId="165" fontId="3" fillId="12" borderId="32" xfId="0" applyNumberFormat="1" applyFont="1" applyFill="1" applyBorder="1" applyAlignment="1">
      <alignment horizontal="center" vertical="center"/>
    </xf>
    <xf numFmtId="9" fontId="3" fillId="12" borderId="18" xfId="1" applyFont="1" applyFill="1" applyBorder="1" applyAlignment="1">
      <alignment horizontal="center" vertical="center"/>
    </xf>
  </cellXfs>
  <cellStyles count="2">
    <cellStyle name="Normal" xfId="0" builtinId="0"/>
    <cellStyle name="Pourcentag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7.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5D8BDC-A424-4108-A095-05F4BC78D5CB}">
  <dimension ref="A1:AJ21"/>
  <sheetViews>
    <sheetView zoomScale="90" zoomScaleNormal="90" workbookViewId="0">
      <pane xSplit="1" topLeftCell="B1" activePane="topRight" state="frozen"/>
      <selection pane="topRight" activeCell="B20" sqref="B20"/>
    </sheetView>
  </sheetViews>
  <sheetFormatPr baseColWidth="10" defaultRowHeight="14.5" x14ac:dyDescent="0.35"/>
  <cols>
    <col min="1" max="1" width="17.81640625" bestFit="1" customWidth="1"/>
    <col min="2" max="20" width="8.08984375" customWidth="1"/>
    <col min="21" max="21" width="11.7265625" bestFit="1" customWidth="1"/>
    <col min="23" max="24" width="8.08984375" customWidth="1"/>
  </cols>
  <sheetData>
    <row r="1" spans="1:36" ht="15" thickBot="1" x14ac:dyDescent="0.4">
      <c r="V1" s="70"/>
      <c r="W1" s="70"/>
      <c r="X1" s="70"/>
      <c r="Y1" s="70"/>
      <c r="Z1" s="70"/>
      <c r="AA1" s="70"/>
      <c r="AB1" s="70"/>
      <c r="AC1" s="70"/>
      <c r="AD1" s="70"/>
      <c r="AE1" s="70"/>
      <c r="AF1" s="70"/>
      <c r="AG1" s="70"/>
      <c r="AH1" s="70"/>
      <c r="AI1" s="70"/>
      <c r="AJ1" s="70"/>
    </row>
    <row r="2" spans="1:36" x14ac:dyDescent="0.35">
      <c r="A2" s="3"/>
      <c r="B2" s="338" t="s">
        <v>0</v>
      </c>
      <c r="C2" s="339"/>
      <c r="D2" s="340" t="s">
        <v>1</v>
      </c>
      <c r="E2" s="341"/>
      <c r="F2" s="342" t="s">
        <v>2</v>
      </c>
      <c r="G2" s="343"/>
      <c r="H2" s="344"/>
      <c r="I2" s="345" t="s">
        <v>3</v>
      </c>
      <c r="J2" s="346"/>
      <c r="K2" s="347" t="s">
        <v>8</v>
      </c>
      <c r="L2" s="348"/>
      <c r="M2" s="349" t="s">
        <v>4</v>
      </c>
      <c r="N2" s="350"/>
      <c r="O2" s="350"/>
      <c r="P2" s="351"/>
      <c r="Q2" s="8" t="s">
        <v>5</v>
      </c>
      <c r="R2" s="6" t="s">
        <v>6</v>
      </c>
      <c r="S2" s="329" t="s">
        <v>7</v>
      </c>
      <c r="T2" s="330"/>
      <c r="U2" s="331" t="s">
        <v>9</v>
      </c>
      <c r="V2" s="70"/>
      <c r="W2" s="70"/>
      <c r="X2" s="70"/>
      <c r="Y2" s="70"/>
      <c r="Z2" s="70"/>
      <c r="AA2" s="70"/>
      <c r="AB2" s="70"/>
      <c r="AC2" s="70"/>
      <c r="AD2" s="70"/>
      <c r="AE2" s="70"/>
      <c r="AF2" s="70"/>
      <c r="AG2" s="70"/>
      <c r="AH2" s="70"/>
      <c r="AI2" s="70"/>
      <c r="AJ2" s="70"/>
    </row>
    <row r="3" spans="1:36" ht="15" thickBot="1" x14ac:dyDescent="0.4">
      <c r="A3" s="3"/>
      <c r="B3" s="32" t="s">
        <v>12</v>
      </c>
      <c r="C3" s="30" t="s">
        <v>13</v>
      </c>
      <c r="D3" s="17" t="s">
        <v>14</v>
      </c>
      <c r="E3" s="18" t="s">
        <v>13</v>
      </c>
      <c r="F3" s="33" t="s">
        <v>15</v>
      </c>
      <c r="G3" s="19" t="s">
        <v>13</v>
      </c>
      <c r="H3" s="31" t="s">
        <v>11</v>
      </c>
      <c r="I3" s="34" t="s">
        <v>12</v>
      </c>
      <c r="J3" s="20" t="s">
        <v>11</v>
      </c>
      <c r="K3" s="21" t="s">
        <v>12</v>
      </c>
      <c r="L3" s="22" t="s">
        <v>16</v>
      </c>
      <c r="M3" s="29" t="s">
        <v>17</v>
      </c>
      <c r="N3" s="35" t="s">
        <v>16</v>
      </c>
      <c r="O3" s="36" t="s">
        <v>15</v>
      </c>
      <c r="P3" s="37" t="s">
        <v>11</v>
      </c>
      <c r="Q3" s="23" t="s">
        <v>11</v>
      </c>
      <c r="R3" s="24" t="s">
        <v>17</v>
      </c>
      <c r="S3" s="25" t="s">
        <v>17</v>
      </c>
      <c r="T3" s="26" t="s">
        <v>44</v>
      </c>
      <c r="U3" s="332"/>
      <c r="V3" s="70"/>
      <c r="W3" s="71"/>
      <c r="X3" s="71"/>
      <c r="Y3" s="71"/>
      <c r="Z3" s="71"/>
      <c r="AA3" s="71"/>
      <c r="AB3" s="71"/>
      <c r="AC3" s="71"/>
      <c r="AD3" s="71"/>
      <c r="AE3" s="71"/>
      <c r="AF3" s="71"/>
      <c r="AG3" s="71"/>
      <c r="AH3" s="71"/>
      <c r="AI3" s="71"/>
      <c r="AJ3" s="71"/>
    </row>
    <row r="4" spans="1:36" x14ac:dyDescent="0.35">
      <c r="A4" s="157" t="s">
        <v>22</v>
      </c>
      <c r="B4" s="163">
        <v>216369</v>
      </c>
      <c r="C4" s="119">
        <v>255300</v>
      </c>
      <c r="D4" s="160">
        <v>230100</v>
      </c>
      <c r="E4" s="42">
        <v>169050</v>
      </c>
      <c r="F4" s="163"/>
      <c r="G4" s="164">
        <v>200100</v>
      </c>
      <c r="H4" s="165">
        <f>10000+120000</f>
        <v>130000</v>
      </c>
      <c r="I4" s="160">
        <v>53000</v>
      </c>
      <c r="J4" s="42">
        <v>120000</v>
      </c>
      <c r="K4" s="163"/>
      <c r="L4" s="119">
        <v>75000</v>
      </c>
      <c r="M4" s="42"/>
      <c r="N4" s="43">
        <v>75000</v>
      </c>
      <c r="O4" s="42"/>
      <c r="P4" s="166"/>
      <c r="Q4" s="167"/>
      <c r="R4" s="42"/>
      <c r="S4" s="163">
        <v>100000</v>
      </c>
      <c r="T4" s="119"/>
      <c r="U4" s="168">
        <f>SUM(B4:T4)</f>
        <v>1623919</v>
      </c>
      <c r="V4" s="70"/>
      <c r="W4" s="71"/>
      <c r="X4" s="71"/>
      <c r="Y4" s="71"/>
      <c r="Z4" s="71"/>
      <c r="AA4" s="71"/>
      <c r="AB4" s="71"/>
      <c r="AC4" s="71"/>
      <c r="AD4" s="71"/>
      <c r="AE4" s="71"/>
      <c r="AF4" s="71"/>
      <c r="AG4" s="71"/>
      <c r="AH4" s="71"/>
      <c r="AI4" s="71"/>
      <c r="AJ4" s="71"/>
    </row>
    <row r="5" spans="1:36" ht="15" thickBot="1" x14ac:dyDescent="0.4">
      <c r="A5" s="158" t="s">
        <v>23</v>
      </c>
      <c r="B5" s="46">
        <f>50000+5000+13750+45000</f>
        <v>113750</v>
      </c>
      <c r="C5" s="52">
        <f>16000+200000</f>
        <v>216000</v>
      </c>
      <c r="D5" s="185"/>
      <c r="E5" s="186"/>
      <c r="F5" s="46">
        <f>10000+2000+15000+72000</f>
        <v>99000</v>
      </c>
      <c r="G5" s="188"/>
      <c r="H5" s="49">
        <f>10000+60000</f>
        <v>70000</v>
      </c>
      <c r="I5" s="161">
        <f>3000+228750+50000</f>
        <v>281750</v>
      </c>
      <c r="J5" s="50">
        <v>3000</v>
      </c>
      <c r="K5" s="46">
        <v>2000</v>
      </c>
      <c r="L5" s="52">
        <v>5000</v>
      </c>
      <c r="M5" s="50">
        <f>736000+2000</f>
        <v>738000</v>
      </c>
      <c r="N5" s="51">
        <f>22000+100000</f>
        <v>122000</v>
      </c>
      <c r="O5" s="50">
        <f>2000+250000</f>
        <v>252000</v>
      </c>
      <c r="P5" s="47">
        <f>2000+104000</f>
        <v>106000</v>
      </c>
      <c r="Q5" s="53">
        <f>2000+32000+6000</f>
        <v>40000</v>
      </c>
      <c r="R5" s="50">
        <f>30000+5000</f>
        <v>35000</v>
      </c>
      <c r="S5" s="46">
        <f>11000+5000+1000</f>
        <v>17000</v>
      </c>
      <c r="T5" s="52">
        <v>16000</v>
      </c>
      <c r="U5" s="169">
        <f>SUM(B5:T5)</f>
        <v>2116500</v>
      </c>
      <c r="V5" s="70"/>
      <c r="W5" s="71"/>
      <c r="X5" s="71"/>
      <c r="Y5" s="71"/>
      <c r="Z5" s="71"/>
      <c r="AA5" s="71"/>
      <c r="AB5" s="71"/>
      <c r="AC5" s="71"/>
      <c r="AD5" s="71"/>
      <c r="AE5" s="71"/>
      <c r="AF5" s="71"/>
      <c r="AG5" s="71"/>
      <c r="AH5" s="71"/>
      <c r="AI5" s="71"/>
      <c r="AJ5" s="71"/>
    </row>
    <row r="6" spans="1:36" x14ac:dyDescent="0.35">
      <c r="A6" s="159" t="s">
        <v>28</v>
      </c>
      <c r="B6" s="55">
        <f>B4+B5</f>
        <v>330119</v>
      </c>
      <c r="C6" s="63">
        <f>C4+C5</f>
        <v>471300</v>
      </c>
      <c r="D6" s="162">
        <f t="shared" ref="D6:T6" si="0">D4+D5</f>
        <v>230100</v>
      </c>
      <c r="E6" s="59">
        <f t="shared" si="0"/>
        <v>169050</v>
      </c>
      <c r="F6" s="55">
        <f t="shared" si="0"/>
        <v>99000</v>
      </c>
      <c r="G6" s="60">
        <f t="shared" si="0"/>
        <v>200100</v>
      </c>
      <c r="H6" s="58">
        <f t="shared" si="0"/>
        <v>200000</v>
      </c>
      <c r="I6" s="162">
        <f t="shared" si="0"/>
        <v>334750</v>
      </c>
      <c r="J6" s="59">
        <f t="shared" si="0"/>
        <v>123000</v>
      </c>
      <c r="K6" s="55">
        <f t="shared" si="0"/>
        <v>2000</v>
      </c>
      <c r="L6" s="62">
        <f t="shared" si="0"/>
        <v>80000</v>
      </c>
      <c r="M6" s="59">
        <f t="shared" si="0"/>
        <v>738000</v>
      </c>
      <c r="N6" s="60">
        <f t="shared" si="0"/>
        <v>197000</v>
      </c>
      <c r="O6" s="59">
        <f t="shared" si="0"/>
        <v>252000</v>
      </c>
      <c r="P6" s="56">
        <f t="shared" si="0"/>
        <v>106000</v>
      </c>
      <c r="Q6" s="63">
        <f t="shared" si="0"/>
        <v>40000</v>
      </c>
      <c r="R6" s="59">
        <f t="shared" si="0"/>
        <v>35000</v>
      </c>
      <c r="S6" s="55">
        <f t="shared" si="0"/>
        <v>117000</v>
      </c>
      <c r="T6" s="56">
        <f t="shared" si="0"/>
        <v>16000</v>
      </c>
      <c r="U6" s="172">
        <f>SUM(B6:S6)</f>
        <v>3724419</v>
      </c>
      <c r="V6" s="70"/>
      <c r="W6" s="71"/>
      <c r="X6" s="71"/>
      <c r="Y6" s="71"/>
      <c r="Z6" s="71"/>
      <c r="AA6" s="71"/>
      <c r="AB6" s="71"/>
      <c r="AC6" s="71"/>
      <c r="AD6" s="71"/>
      <c r="AE6" s="71"/>
      <c r="AF6" s="71"/>
      <c r="AG6" s="71"/>
      <c r="AH6" s="71"/>
      <c r="AI6" s="71"/>
      <c r="AJ6" s="71"/>
    </row>
    <row r="7" spans="1:36" ht="15" thickBot="1" x14ac:dyDescent="0.4">
      <c r="A7" s="154" t="s">
        <v>26</v>
      </c>
      <c r="B7" s="333">
        <f>B6+C6</f>
        <v>801419</v>
      </c>
      <c r="C7" s="334"/>
      <c r="D7" s="335">
        <f>D6+E6</f>
        <v>399150</v>
      </c>
      <c r="E7" s="336"/>
      <c r="F7" s="333">
        <f>SUM(F6:H6)</f>
        <v>499100</v>
      </c>
      <c r="G7" s="337"/>
      <c r="H7" s="334"/>
      <c r="I7" s="335">
        <f>I6+J6</f>
        <v>457750</v>
      </c>
      <c r="J7" s="336"/>
      <c r="K7" s="333">
        <f>K6+L6</f>
        <v>82000</v>
      </c>
      <c r="L7" s="334"/>
      <c r="M7" s="335">
        <f>SUM(M6:P6)</f>
        <v>1293000</v>
      </c>
      <c r="N7" s="337"/>
      <c r="O7" s="337"/>
      <c r="P7" s="336"/>
      <c r="Q7" s="210">
        <f>Q6</f>
        <v>40000</v>
      </c>
      <c r="R7" s="211">
        <f>R6</f>
        <v>35000</v>
      </c>
      <c r="S7" s="333">
        <f>S6+T6</f>
        <v>133000</v>
      </c>
      <c r="T7" s="336"/>
      <c r="U7" s="173">
        <f t="shared" ref="U7:U9" si="1">SUM(B7:S7)</f>
        <v>3740419</v>
      </c>
      <c r="V7" s="70"/>
      <c r="W7" s="71"/>
      <c r="X7" s="71"/>
      <c r="Y7" s="71"/>
      <c r="Z7" s="71"/>
      <c r="AA7" s="71"/>
      <c r="AB7" s="71"/>
      <c r="AC7" s="71"/>
      <c r="AD7" s="71"/>
      <c r="AE7" s="71"/>
      <c r="AF7" s="71"/>
      <c r="AG7" s="71"/>
      <c r="AH7" s="71"/>
      <c r="AI7" s="71"/>
      <c r="AJ7" s="71"/>
    </row>
    <row r="8" spans="1:36" x14ac:dyDescent="0.35">
      <c r="A8" s="212" t="s">
        <v>24</v>
      </c>
      <c r="B8" s="213">
        <f>(B6-50000)*0.25</f>
        <v>70029.75</v>
      </c>
      <c r="C8" s="214">
        <f t="shared" ref="C8:T8" si="2">C6*0.25</f>
        <v>117825</v>
      </c>
      <c r="D8" s="215">
        <f t="shared" si="2"/>
        <v>57525</v>
      </c>
      <c r="E8" s="216">
        <f t="shared" si="2"/>
        <v>42262.5</v>
      </c>
      <c r="F8" s="213">
        <f>(F6-10000)*0.25</f>
        <v>22250</v>
      </c>
      <c r="G8" s="217">
        <f t="shared" si="2"/>
        <v>50025</v>
      </c>
      <c r="H8" s="214">
        <f t="shared" si="2"/>
        <v>50000</v>
      </c>
      <c r="I8" s="218">
        <f t="shared" si="2"/>
        <v>83687.5</v>
      </c>
      <c r="J8" s="219">
        <f t="shared" si="2"/>
        <v>30750</v>
      </c>
      <c r="K8" s="220">
        <f t="shared" si="2"/>
        <v>500</v>
      </c>
      <c r="L8" s="221">
        <f t="shared" si="2"/>
        <v>20000</v>
      </c>
      <c r="M8" s="218">
        <f t="shared" si="2"/>
        <v>184500</v>
      </c>
      <c r="N8" s="222">
        <f t="shared" si="2"/>
        <v>49250</v>
      </c>
      <c r="O8" s="222">
        <f t="shared" si="2"/>
        <v>63000</v>
      </c>
      <c r="P8" s="219">
        <f t="shared" si="2"/>
        <v>26500</v>
      </c>
      <c r="Q8" s="223">
        <f>(Q6-2000)*0.25</f>
        <v>9500</v>
      </c>
      <c r="R8" s="224">
        <f t="shared" si="2"/>
        <v>8750</v>
      </c>
      <c r="S8" s="220">
        <f t="shared" si="2"/>
        <v>29250</v>
      </c>
      <c r="T8" s="221">
        <f t="shared" si="2"/>
        <v>4000</v>
      </c>
      <c r="U8" s="173">
        <f t="shared" si="1"/>
        <v>915604.75</v>
      </c>
      <c r="V8" s="70"/>
      <c r="W8" s="71"/>
      <c r="X8" s="71"/>
      <c r="Y8" s="71"/>
      <c r="Z8" s="71"/>
      <c r="AA8" s="71"/>
      <c r="AB8" s="71"/>
      <c r="AC8" s="71"/>
      <c r="AD8" s="71"/>
      <c r="AE8" s="71"/>
      <c r="AF8" s="71"/>
      <c r="AG8" s="71"/>
      <c r="AH8" s="71"/>
      <c r="AI8" s="71"/>
      <c r="AJ8" s="71"/>
    </row>
    <row r="9" spans="1:36" ht="15" thickBot="1" x14ac:dyDescent="0.4">
      <c r="A9" s="207" t="s">
        <v>25</v>
      </c>
      <c r="B9" s="323">
        <f>B7+B8+C8</f>
        <v>989273.75</v>
      </c>
      <c r="C9" s="324"/>
      <c r="D9" s="321">
        <f>D7+D8+E8</f>
        <v>498937.5</v>
      </c>
      <c r="E9" s="322"/>
      <c r="F9" s="321">
        <f>F7+F8+G8+H8</f>
        <v>621375</v>
      </c>
      <c r="G9" s="325"/>
      <c r="H9" s="322"/>
      <c r="I9" s="321">
        <f>I7+I8+J8</f>
        <v>572187.5</v>
      </c>
      <c r="J9" s="322"/>
      <c r="K9" s="321">
        <f>K7+K8+L8</f>
        <v>102500</v>
      </c>
      <c r="L9" s="322"/>
      <c r="M9" s="321">
        <f>M7+M8+N8+O8+P8</f>
        <v>1616250</v>
      </c>
      <c r="N9" s="325"/>
      <c r="O9" s="325"/>
      <c r="P9" s="322"/>
      <c r="Q9" s="208">
        <f>Q7+Q8</f>
        <v>49500</v>
      </c>
      <c r="R9" s="209">
        <f>R7+R8</f>
        <v>43750</v>
      </c>
      <c r="S9" s="321">
        <f>S7+S8+T8</f>
        <v>166250</v>
      </c>
      <c r="T9" s="322"/>
      <c r="U9" s="315">
        <f t="shared" si="1"/>
        <v>4660023.75</v>
      </c>
      <c r="V9" s="70"/>
      <c r="W9" s="71"/>
      <c r="X9" s="71"/>
      <c r="Y9" s="71"/>
      <c r="Z9" s="71"/>
      <c r="AA9" s="71"/>
      <c r="AB9" s="71"/>
      <c r="AC9" s="71"/>
      <c r="AD9" s="71"/>
      <c r="AE9" s="71"/>
      <c r="AF9" s="71"/>
      <c r="AG9" s="71"/>
      <c r="AH9" s="71"/>
      <c r="AI9" s="71"/>
      <c r="AJ9" s="71"/>
    </row>
    <row r="10" spans="1:36" ht="15" thickBot="1" x14ac:dyDescent="0.4">
      <c r="A10" s="171" t="s">
        <v>21</v>
      </c>
      <c r="B10" s="326">
        <v>989273.75</v>
      </c>
      <c r="C10" s="327"/>
      <c r="D10" s="328">
        <v>498937.5</v>
      </c>
      <c r="E10" s="328"/>
      <c r="F10" s="326">
        <v>621375</v>
      </c>
      <c r="G10" s="328"/>
      <c r="H10" s="327"/>
      <c r="I10" s="328">
        <v>572187.5</v>
      </c>
      <c r="J10" s="328"/>
      <c r="K10" s="326">
        <v>102500</v>
      </c>
      <c r="L10" s="327"/>
      <c r="M10" s="328">
        <v>1616250</v>
      </c>
      <c r="N10" s="328"/>
      <c r="O10" s="328"/>
      <c r="P10" s="328"/>
      <c r="Q10" s="156">
        <v>49500</v>
      </c>
      <c r="R10" s="155">
        <v>43750</v>
      </c>
      <c r="S10" s="326">
        <v>166250</v>
      </c>
      <c r="T10" s="327"/>
      <c r="U10" s="319">
        <f>SUM(B10:S10)</f>
        <v>4660023.75</v>
      </c>
      <c r="V10" s="70"/>
      <c r="W10" s="71"/>
      <c r="X10" s="71"/>
      <c r="Y10" s="71"/>
      <c r="Z10" s="71"/>
      <c r="AA10" s="71"/>
      <c r="AB10" s="71"/>
      <c r="AC10" s="71"/>
      <c r="AD10" s="71"/>
      <c r="AE10" s="71"/>
      <c r="AF10" s="71"/>
      <c r="AG10" s="71"/>
      <c r="AH10" s="71"/>
      <c r="AI10" s="71"/>
      <c r="AJ10" s="71"/>
    </row>
    <row r="11" spans="1:36" x14ac:dyDescent="0.35">
      <c r="A11" s="3"/>
      <c r="B11" s="1"/>
      <c r="C11" s="1"/>
      <c r="D11" s="1"/>
      <c r="E11" s="1"/>
      <c r="F11" s="1"/>
      <c r="G11" s="1"/>
      <c r="H11" s="1"/>
      <c r="I11" s="1"/>
      <c r="J11" s="1"/>
      <c r="K11" s="1"/>
      <c r="L11" s="1"/>
      <c r="M11" s="1"/>
      <c r="N11" s="1"/>
      <c r="O11" s="1"/>
      <c r="P11" s="1"/>
      <c r="Q11" s="1"/>
      <c r="R11" s="1"/>
      <c r="S11" s="1"/>
      <c r="T11" s="1"/>
      <c r="U11" s="28"/>
      <c r="V11" s="70"/>
      <c r="W11" s="70"/>
      <c r="X11" s="70"/>
      <c r="Y11" s="70"/>
      <c r="Z11" s="70"/>
      <c r="AA11" s="70"/>
      <c r="AB11" s="70"/>
      <c r="AC11" s="70"/>
      <c r="AD11" s="70"/>
      <c r="AE11" s="70"/>
      <c r="AF11" s="70"/>
      <c r="AG11" s="70"/>
      <c r="AH11" s="70"/>
      <c r="AI11" s="70"/>
      <c r="AJ11" s="70"/>
    </row>
    <row r="12" spans="1:36" x14ac:dyDescent="0.35">
      <c r="A12" s="3"/>
      <c r="B12" s="1"/>
      <c r="C12" s="1"/>
      <c r="D12" s="1"/>
      <c r="E12" s="1"/>
      <c r="F12" s="1"/>
      <c r="G12" s="1"/>
      <c r="H12" s="1"/>
      <c r="I12" s="1"/>
      <c r="J12" s="1"/>
      <c r="K12" s="1"/>
      <c r="L12" s="1"/>
      <c r="M12" s="1"/>
      <c r="N12" s="1"/>
      <c r="O12" s="1"/>
      <c r="P12" s="1"/>
      <c r="Q12" s="1"/>
      <c r="R12" s="1"/>
      <c r="S12" s="1"/>
      <c r="T12" s="1"/>
      <c r="U12" s="174"/>
      <c r="V12" s="70"/>
      <c r="W12" s="70"/>
      <c r="X12" s="70"/>
      <c r="Y12" s="70"/>
      <c r="Z12" s="70"/>
      <c r="AA12" s="70"/>
      <c r="AB12" s="70"/>
      <c r="AC12" s="70"/>
      <c r="AD12" s="70"/>
      <c r="AE12" s="70"/>
      <c r="AF12" s="70"/>
      <c r="AG12" s="70"/>
      <c r="AH12" s="70"/>
      <c r="AI12" s="70"/>
      <c r="AJ12" s="70"/>
    </row>
    <row r="13" spans="1:36" x14ac:dyDescent="0.35">
      <c r="A13" s="3"/>
      <c r="B13" s="1"/>
      <c r="C13" s="1"/>
      <c r="D13" s="1"/>
      <c r="E13" s="1"/>
      <c r="F13" s="1"/>
      <c r="G13" s="1"/>
      <c r="H13" s="1"/>
      <c r="I13" s="1"/>
      <c r="J13" s="1"/>
      <c r="K13" s="1"/>
      <c r="L13" s="1"/>
      <c r="M13" s="1"/>
      <c r="N13" s="1"/>
      <c r="O13" s="1"/>
      <c r="P13" s="1"/>
      <c r="Q13" s="1"/>
      <c r="R13" s="1"/>
      <c r="S13" s="1"/>
      <c r="T13" s="1"/>
      <c r="U13" s="175"/>
      <c r="V13" s="70"/>
      <c r="W13" s="70"/>
      <c r="X13" s="70"/>
      <c r="Y13" s="70"/>
      <c r="Z13" s="70"/>
      <c r="AA13" s="70"/>
      <c r="AB13" s="70"/>
      <c r="AC13" s="70"/>
      <c r="AD13" s="70"/>
      <c r="AE13" s="70"/>
      <c r="AF13" s="70"/>
      <c r="AG13" s="70"/>
      <c r="AH13" s="70"/>
      <c r="AI13" s="70"/>
      <c r="AJ13" s="70"/>
    </row>
    <row r="14" spans="1:36" x14ac:dyDescent="0.35">
      <c r="V14" s="70"/>
      <c r="W14" s="70"/>
      <c r="X14" s="70"/>
      <c r="Y14" s="70"/>
      <c r="Z14" s="70"/>
      <c r="AA14" s="70"/>
      <c r="AB14" s="70"/>
      <c r="AC14" s="70"/>
      <c r="AD14" s="70"/>
      <c r="AE14" s="70"/>
      <c r="AF14" s="70"/>
      <c r="AG14" s="70"/>
      <c r="AH14" s="70"/>
      <c r="AI14" s="70"/>
      <c r="AJ14" s="70"/>
    </row>
    <row r="15" spans="1:36" x14ac:dyDescent="0.35">
      <c r="V15" s="70"/>
      <c r="W15" s="70"/>
      <c r="X15" s="70"/>
      <c r="Y15" s="70"/>
      <c r="Z15" s="70"/>
      <c r="AA15" s="70"/>
      <c r="AB15" s="70"/>
      <c r="AC15" s="70"/>
      <c r="AD15" s="70"/>
      <c r="AE15" s="70"/>
      <c r="AF15" s="70"/>
      <c r="AG15" s="70"/>
      <c r="AH15" s="70"/>
      <c r="AI15" s="70"/>
      <c r="AJ15" s="70"/>
    </row>
    <row r="16" spans="1:36" x14ac:dyDescent="0.35">
      <c r="V16" s="70"/>
      <c r="W16" s="70"/>
      <c r="X16" s="70"/>
      <c r="Y16" s="70"/>
      <c r="Z16" s="70"/>
      <c r="AA16" s="70"/>
      <c r="AB16" s="70"/>
      <c r="AC16" s="70"/>
      <c r="AD16" s="70"/>
      <c r="AE16" s="70"/>
      <c r="AF16" s="70"/>
      <c r="AG16" s="70"/>
      <c r="AH16" s="70"/>
      <c r="AI16" s="70"/>
      <c r="AJ16" s="70"/>
    </row>
    <row r="17" spans="22:36" x14ac:dyDescent="0.35">
      <c r="V17" s="70"/>
      <c r="W17" s="70"/>
      <c r="X17" s="70"/>
      <c r="Y17" s="70"/>
      <c r="Z17" s="70"/>
      <c r="AA17" s="70"/>
      <c r="AB17" s="70"/>
      <c r="AC17" s="70"/>
      <c r="AD17" s="70"/>
      <c r="AE17" s="70"/>
      <c r="AF17" s="70"/>
      <c r="AG17" s="70"/>
      <c r="AH17" s="70"/>
      <c r="AI17" s="70"/>
      <c r="AJ17" s="70"/>
    </row>
    <row r="18" spans="22:36" x14ac:dyDescent="0.35">
      <c r="V18" s="70"/>
      <c r="W18" s="70"/>
      <c r="X18" s="70"/>
      <c r="Y18" s="70"/>
      <c r="Z18" s="70"/>
      <c r="AA18" s="70"/>
      <c r="AB18" s="70"/>
      <c r="AC18" s="70"/>
      <c r="AD18" s="70"/>
      <c r="AE18" s="70"/>
      <c r="AF18" s="70"/>
      <c r="AG18" s="70"/>
      <c r="AH18" s="70"/>
      <c r="AI18" s="70"/>
      <c r="AJ18" s="70"/>
    </row>
    <row r="19" spans="22:36" x14ac:dyDescent="0.35">
      <c r="V19" s="70"/>
      <c r="W19" s="70"/>
      <c r="X19" s="70"/>
      <c r="Y19" s="70"/>
      <c r="Z19" s="70"/>
      <c r="AA19" s="70"/>
      <c r="AB19" s="70"/>
      <c r="AC19" s="70"/>
      <c r="AD19" s="70"/>
      <c r="AE19" s="70"/>
      <c r="AF19" s="70"/>
      <c r="AG19" s="70"/>
      <c r="AH19" s="70"/>
      <c r="AI19" s="70"/>
      <c r="AJ19" s="70"/>
    </row>
    <row r="20" spans="22:36" x14ac:dyDescent="0.35">
      <c r="V20" s="70"/>
      <c r="W20" s="70"/>
      <c r="X20" s="70"/>
      <c r="Y20" s="70"/>
      <c r="Z20" s="70"/>
      <c r="AA20" s="70"/>
      <c r="AB20" s="70"/>
      <c r="AC20" s="70"/>
      <c r="AD20" s="70"/>
      <c r="AE20" s="70"/>
      <c r="AF20" s="70"/>
      <c r="AG20" s="70"/>
      <c r="AH20" s="70"/>
      <c r="AI20" s="70"/>
      <c r="AJ20" s="70"/>
    </row>
    <row r="21" spans="22:36" x14ac:dyDescent="0.35">
      <c r="V21" s="70"/>
      <c r="W21" s="70"/>
      <c r="X21" s="70"/>
      <c r="Y21" s="70"/>
      <c r="Z21" s="70"/>
      <c r="AA21" s="70"/>
      <c r="AB21" s="70"/>
      <c r="AC21" s="70"/>
      <c r="AD21" s="70"/>
      <c r="AE21" s="70"/>
      <c r="AF21" s="70"/>
      <c r="AG21" s="70"/>
      <c r="AH21" s="70"/>
      <c r="AI21" s="70"/>
      <c r="AJ21" s="70"/>
    </row>
  </sheetData>
  <mergeCells count="29">
    <mergeCell ref="S2:T2"/>
    <mergeCell ref="U2:U3"/>
    <mergeCell ref="B7:C7"/>
    <mergeCell ref="D7:E7"/>
    <mergeCell ref="F7:H7"/>
    <mergeCell ref="I7:J7"/>
    <mergeCell ref="K7:L7"/>
    <mergeCell ref="M7:P7"/>
    <mergeCell ref="S7:T7"/>
    <mergeCell ref="B2:C2"/>
    <mergeCell ref="D2:E2"/>
    <mergeCell ref="F2:H2"/>
    <mergeCell ref="I2:J2"/>
    <mergeCell ref="K2:L2"/>
    <mergeCell ref="M2:P2"/>
    <mergeCell ref="S10:T10"/>
    <mergeCell ref="B10:C10"/>
    <mergeCell ref="D10:E10"/>
    <mergeCell ref="F10:H10"/>
    <mergeCell ref="I10:J10"/>
    <mergeCell ref="K10:L10"/>
    <mergeCell ref="M10:P10"/>
    <mergeCell ref="S9:T9"/>
    <mergeCell ref="B9:C9"/>
    <mergeCell ref="D9:E9"/>
    <mergeCell ref="F9:H9"/>
    <mergeCell ref="I9:J9"/>
    <mergeCell ref="K9:L9"/>
    <mergeCell ref="M9:P9"/>
  </mergeCells>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9AC3F-39D3-47D0-9804-D5E509725EB8}">
  <dimension ref="A1:U13"/>
  <sheetViews>
    <sheetView zoomScale="90" zoomScaleNormal="90" workbookViewId="0">
      <pane xSplit="1" topLeftCell="B1" activePane="topRight" state="frozen"/>
      <selection pane="topRight" activeCell="D16" sqref="D16"/>
    </sheetView>
  </sheetViews>
  <sheetFormatPr baseColWidth="10" defaultRowHeight="14.5" x14ac:dyDescent="0.35"/>
  <cols>
    <col min="1" max="1" width="17.81640625" style="4" bestFit="1" customWidth="1"/>
    <col min="2" max="19" width="8.08984375" customWidth="1"/>
    <col min="20" max="20" width="8" customWidth="1"/>
    <col min="21" max="21" width="11.7265625" bestFit="1" customWidth="1"/>
  </cols>
  <sheetData>
    <row r="1" spans="1:21" ht="15" thickBot="1" x14ac:dyDescent="0.4"/>
    <row r="2" spans="1:21" s="2" customFormat="1" x14ac:dyDescent="0.35">
      <c r="A2" s="3"/>
      <c r="B2" s="338" t="s">
        <v>0</v>
      </c>
      <c r="C2" s="339"/>
      <c r="D2" s="340" t="s">
        <v>1</v>
      </c>
      <c r="E2" s="341"/>
      <c r="F2" s="342" t="s">
        <v>2</v>
      </c>
      <c r="G2" s="343"/>
      <c r="H2" s="344"/>
      <c r="I2" s="345" t="s">
        <v>3</v>
      </c>
      <c r="J2" s="346"/>
      <c r="K2" s="347" t="s">
        <v>8</v>
      </c>
      <c r="L2" s="348"/>
      <c r="M2" s="349" t="s">
        <v>4</v>
      </c>
      <c r="N2" s="350"/>
      <c r="O2" s="350"/>
      <c r="P2" s="351"/>
      <c r="Q2" s="8" t="s">
        <v>5</v>
      </c>
      <c r="R2" s="6" t="s">
        <v>6</v>
      </c>
      <c r="S2" s="329" t="s">
        <v>7</v>
      </c>
      <c r="T2" s="330"/>
      <c r="U2" s="331" t="s">
        <v>9</v>
      </c>
    </row>
    <row r="3" spans="1:21" s="2" customFormat="1" ht="15" thickBot="1" x14ac:dyDescent="0.4">
      <c r="A3" s="268" t="s">
        <v>42</v>
      </c>
      <c r="B3" s="32" t="s">
        <v>12</v>
      </c>
      <c r="C3" s="30" t="s">
        <v>13</v>
      </c>
      <c r="D3" s="17" t="s">
        <v>14</v>
      </c>
      <c r="E3" s="18" t="s">
        <v>13</v>
      </c>
      <c r="F3" s="33" t="s">
        <v>15</v>
      </c>
      <c r="G3" s="19" t="s">
        <v>13</v>
      </c>
      <c r="H3" s="31" t="s">
        <v>11</v>
      </c>
      <c r="I3" s="34" t="s">
        <v>12</v>
      </c>
      <c r="J3" s="20" t="s">
        <v>11</v>
      </c>
      <c r="K3" s="21" t="s">
        <v>12</v>
      </c>
      <c r="L3" s="22" t="s">
        <v>16</v>
      </c>
      <c r="M3" s="29" t="s">
        <v>17</v>
      </c>
      <c r="N3" s="35" t="s">
        <v>16</v>
      </c>
      <c r="O3" s="36" t="s">
        <v>15</v>
      </c>
      <c r="P3" s="37" t="s">
        <v>11</v>
      </c>
      <c r="Q3" s="23" t="s">
        <v>11</v>
      </c>
      <c r="R3" s="24" t="s">
        <v>17</v>
      </c>
      <c r="S3" s="25" t="s">
        <v>17</v>
      </c>
      <c r="T3" s="26" t="s">
        <v>44</v>
      </c>
      <c r="U3" s="332"/>
    </row>
    <row r="4" spans="1:21" x14ac:dyDescent="0.35">
      <c r="A4" s="9" t="s">
        <v>22</v>
      </c>
      <c r="B4" s="38">
        <v>0</v>
      </c>
      <c r="C4" s="39">
        <v>255300</v>
      </c>
      <c r="D4" s="40">
        <v>9197.7999999999993</v>
      </c>
      <c r="E4" s="41">
        <v>169050</v>
      </c>
      <c r="F4" s="42"/>
      <c r="G4" s="43">
        <v>0</v>
      </c>
      <c r="H4" s="42">
        <v>0</v>
      </c>
      <c r="I4" s="40">
        <v>0</v>
      </c>
      <c r="J4" s="41">
        <v>0</v>
      </c>
      <c r="K4" s="180"/>
      <c r="L4" s="39">
        <v>0</v>
      </c>
      <c r="M4" s="42"/>
      <c r="N4" s="43">
        <v>0</v>
      </c>
      <c r="O4" s="180"/>
      <c r="P4" s="177"/>
      <c r="Q4" s="180"/>
      <c r="R4" s="44"/>
      <c r="S4" s="42">
        <v>100000</v>
      </c>
      <c r="T4" s="177"/>
      <c r="U4" s="45">
        <f>SUM(B4:T4)</f>
        <v>533547.80000000005</v>
      </c>
    </row>
    <row r="5" spans="1:21" ht="15" thickBot="1" x14ac:dyDescent="0.4">
      <c r="A5" s="12" t="s">
        <v>23</v>
      </c>
      <c r="B5" s="46">
        <v>0</v>
      </c>
      <c r="C5" s="47">
        <v>0</v>
      </c>
      <c r="D5" s="185"/>
      <c r="E5" s="186"/>
      <c r="F5" s="50">
        <v>0</v>
      </c>
      <c r="G5" s="188"/>
      <c r="H5" s="50">
        <v>0</v>
      </c>
      <c r="I5" s="48">
        <v>0</v>
      </c>
      <c r="J5" s="49">
        <v>0</v>
      </c>
      <c r="K5" s="50">
        <v>0</v>
      </c>
      <c r="L5" s="52">
        <v>0</v>
      </c>
      <c r="M5" s="46">
        <v>736000</v>
      </c>
      <c r="N5" s="51">
        <v>0</v>
      </c>
      <c r="O5" s="50">
        <v>0</v>
      </c>
      <c r="P5" s="52">
        <v>0</v>
      </c>
      <c r="Q5" s="50">
        <f>10000+6000</f>
        <v>16000</v>
      </c>
      <c r="R5" s="53">
        <v>0</v>
      </c>
      <c r="S5" s="50">
        <v>0</v>
      </c>
      <c r="T5" s="52">
        <v>4500</v>
      </c>
      <c r="U5" s="54">
        <f>SUM(B5:T5)</f>
        <v>756500</v>
      </c>
    </row>
    <row r="6" spans="1:21" x14ac:dyDescent="0.35">
      <c r="A6" s="14" t="s">
        <v>28</v>
      </c>
      <c r="B6" s="55">
        <f>B4+B5</f>
        <v>0</v>
      </c>
      <c r="C6" s="56">
        <f t="shared" ref="C6:T6" si="0">C4+C5</f>
        <v>255300</v>
      </c>
      <c r="D6" s="57">
        <f t="shared" si="0"/>
        <v>9197.7999999999993</v>
      </c>
      <c r="E6" s="58">
        <f t="shared" si="0"/>
        <v>169050</v>
      </c>
      <c r="F6" s="59">
        <f t="shared" si="0"/>
        <v>0</v>
      </c>
      <c r="G6" s="60">
        <f t="shared" si="0"/>
        <v>0</v>
      </c>
      <c r="H6" s="59">
        <f t="shared" si="0"/>
        <v>0</v>
      </c>
      <c r="I6" s="57">
        <f t="shared" si="0"/>
        <v>0</v>
      </c>
      <c r="J6" s="58">
        <f t="shared" si="0"/>
        <v>0</v>
      </c>
      <c r="K6" s="59">
        <f t="shared" si="0"/>
        <v>0</v>
      </c>
      <c r="L6" s="61">
        <f t="shared" si="0"/>
        <v>0</v>
      </c>
      <c r="M6" s="55">
        <f t="shared" si="0"/>
        <v>736000</v>
      </c>
      <c r="N6" s="60">
        <f t="shared" si="0"/>
        <v>0</v>
      </c>
      <c r="O6" s="59">
        <f t="shared" si="0"/>
        <v>0</v>
      </c>
      <c r="P6" s="62">
        <f t="shared" si="0"/>
        <v>0</v>
      </c>
      <c r="Q6" s="59">
        <f t="shared" si="0"/>
        <v>16000</v>
      </c>
      <c r="R6" s="63">
        <f t="shared" si="0"/>
        <v>0</v>
      </c>
      <c r="S6" s="59">
        <f t="shared" si="0"/>
        <v>100000</v>
      </c>
      <c r="T6" s="61">
        <f t="shared" si="0"/>
        <v>4500</v>
      </c>
      <c r="U6" s="64">
        <f>SUM(B6:S6)</f>
        <v>1285547.8</v>
      </c>
    </row>
    <row r="7" spans="1:21" ht="15" thickBot="1" x14ac:dyDescent="0.4">
      <c r="A7" s="15" t="s">
        <v>26</v>
      </c>
      <c r="B7" s="352">
        <f>B6+C6</f>
        <v>255300</v>
      </c>
      <c r="C7" s="353"/>
      <c r="D7" s="352">
        <f>D6+E6</f>
        <v>178247.8</v>
      </c>
      <c r="E7" s="354"/>
      <c r="F7" s="353">
        <f>SUM(F6:H6)</f>
        <v>0</v>
      </c>
      <c r="G7" s="353"/>
      <c r="H7" s="353"/>
      <c r="I7" s="352">
        <f>I6+J6</f>
        <v>0</v>
      </c>
      <c r="J7" s="354"/>
      <c r="K7" s="353">
        <f>K6+L6</f>
        <v>0</v>
      </c>
      <c r="L7" s="353"/>
      <c r="M7" s="352">
        <f>SUM(M6:P6)</f>
        <v>736000</v>
      </c>
      <c r="N7" s="353"/>
      <c r="O7" s="353"/>
      <c r="P7" s="354"/>
      <c r="Q7" s="65">
        <f>Q6</f>
        <v>16000</v>
      </c>
      <c r="R7" s="66">
        <f>R6</f>
        <v>0</v>
      </c>
      <c r="S7" s="353">
        <f>S6+T6</f>
        <v>104500</v>
      </c>
      <c r="T7" s="353"/>
      <c r="U7" s="67">
        <f>SUM(B7:T7)</f>
        <v>1290047.8</v>
      </c>
    </row>
    <row r="8" spans="1:21" ht="15" thickBot="1" x14ac:dyDescent="0.4">
      <c r="A8" s="148" t="s">
        <v>21</v>
      </c>
      <c r="B8" s="356">
        <v>989273.75</v>
      </c>
      <c r="C8" s="355"/>
      <c r="D8" s="356">
        <v>498937.5</v>
      </c>
      <c r="E8" s="357"/>
      <c r="F8" s="355">
        <v>621375</v>
      </c>
      <c r="G8" s="355"/>
      <c r="H8" s="355"/>
      <c r="I8" s="356">
        <v>572187.5</v>
      </c>
      <c r="J8" s="357"/>
      <c r="K8" s="355">
        <v>102500</v>
      </c>
      <c r="L8" s="355"/>
      <c r="M8" s="356">
        <v>1616250</v>
      </c>
      <c r="N8" s="355"/>
      <c r="O8" s="355"/>
      <c r="P8" s="357"/>
      <c r="Q8" s="151">
        <v>49500</v>
      </c>
      <c r="R8" s="152">
        <v>43750</v>
      </c>
      <c r="S8" s="355">
        <v>166250</v>
      </c>
      <c r="T8" s="355"/>
      <c r="U8" s="318">
        <f>SUM(B8:S8)</f>
        <v>4660023.75</v>
      </c>
    </row>
    <row r="9" spans="1:21" x14ac:dyDescent="0.35">
      <c r="A9" s="3"/>
      <c r="B9" s="1"/>
      <c r="C9" s="1"/>
      <c r="D9" s="1"/>
      <c r="E9" s="1"/>
      <c r="F9" s="1"/>
      <c r="G9" s="1"/>
      <c r="H9" s="1"/>
      <c r="I9" s="1"/>
      <c r="J9" s="1"/>
      <c r="K9" s="1"/>
      <c r="L9" s="1"/>
      <c r="M9" s="1"/>
      <c r="N9" s="1"/>
      <c r="O9" s="1"/>
      <c r="P9" s="1"/>
      <c r="Q9" s="1"/>
      <c r="R9" s="1"/>
      <c r="S9" s="1"/>
      <c r="T9" s="1"/>
      <c r="U9" s="28"/>
    </row>
    <row r="10" spans="1:21" x14ac:dyDescent="0.35">
      <c r="A10" s="3"/>
      <c r="B10" s="1"/>
      <c r="C10" s="1"/>
      <c r="D10" s="1"/>
      <c r="E10" s="1"/>
      <c r="F10" s="1"/>
      <c r="G10" s="1"/>
      <c r="H10" s="1"/>
      <c r="I10" s="1"/>
      <c r="J10" s="1"/>
      <c r="K10" s="1"/>
      <c r="L10" s="1"/>
      <c r="M10" s="1"/>
      <c r="N10" s="1"/>
      <c r="O10" s="1"/>
      <c r="P10" s="1"/>
      <c r="Q10" s="1"/>
      <c r="R10" s="1"/>
      <c r="S10" s="1"/>
      <c r="T10" s="1"/>
      <c r="U10" s="174"/>
    </row>
    <row r="11" spans="1:21" x14ac:dyDescent="0.35">
      <c r="A11" s="3"/>
      <c r="B11" s="1"/>
      <c r="C11" s="1"/>
      <c r="D11" s="1"/>
      <c r="E11" s="1"/>
      <c r="F11" s="1"/>
      <c r="G11" s="1"/>
      <c r="H11" s="1"/>
      <c r="I11" s="1"/>
      <c r="J11" s="1"/>
      <c r="K11" s="1"/>
      <c r="L11" s="1"/>
      <c r="M11" s="1"/>
      <c r="N11" s="1"/>
      <c r="O11" s="1"/>
      <c r="P11" s="1"/>
      <c r="Q11" s="1"/>
      <c r="R11" s="1"/>
      <c r="S11" s="1"/>
      <c r="T11" s="1"/>
      <c r="U11" s="175"/>
    </row>
    <row r="12" spans="1:21" x14ac:dyDescent="0.35">
      <c r="A12" s="3"/>
      <c r="B12" s="1"/>
      <c r="C12" s="1"/>
      <c r="D12" s="1"/>
      <c r="E12" s="1"/>
      <c r="F12" s="1"/>
      <c r="G12" s="1"/>
      <c r="H12" s="1"/>
      <c r="I12" s="1"/>
      <c r="J12" s="1"/>
      <c r="K12" s="1"/>
      <c r="L12" s="1"/>
      <c r="M12" s="1"/>
      <c r="N12" s="1"/>
      <c r="O12" s="1"/>
      <c r="P12" s="1"/>
      <c r="Q12" s="1"/>
      <c r="R12" s="1"/>
      <c r="S12" s="1"/>
      <c r="T12" s="1"/>
      <c r="U12" s="27"/>
    </row>
    <row r="13" spans="1:21" x14ac:dyDescent="0.35">
      <c r="A13" s="3"/>
      <c r="B13" s="1"/>
      <c r="C13" s="1"/>
      <c r="D13" s="1"/>
      <c r="E13" s="1"/>
      <c r="F13" s="1"/>
      <c r="G13" s="1"/>
      <c r="H13" s="1"/>
      <c r="I13" s="1"/>
      <c r="J13" s="1"/>
      <c r="K13" s="1"/>
      <c r="L13" s="1"/>
      <c r="M13" s="1"/>
      <c r="N13" s="1"/>
      <c r="O13" s="1"/>
      <c r="P13" s="1"/>
      <c r="Q13" s="1"/>
      <c r="R13" s="1"/>
      <c r="S13" s="1"/>
      <c r="T13" s="1"/>
      <c r="U13" s="27"/>
    </row>
  </sheetData>
  <mergeCells count="22">
    <mergeCell ref="S8:T8"/>
    <mergeCell ref="S7:T7"/>
    <mergeCell ref="M2:P2"/>
    <mergeCell ref="K2:L2"/>
    <mergeCell ref="B8:C8"/>
    <mergeCell ref="D8:E8"/>
    <mergeCell ref="F8:H8"/>
    <mergeCell ref="I8:J8"/>
    <mergeCell ref="K8:L8"/>
    <mergeCell ref="M8:P8"/>
    <mergeCell ref="U2:U3"/>
    <mergeCell ref="B7:C7"/>
    <mergeCell ref="D7:E7"/>
    <mergeCell ref="F7:H7"/>
    <mergeCell ref="I7:J7"/>
    <mergeCell ref="K7:L7"/>
    <mergeCell ref="M7:P7"/>
    <mergeCell ref="S2:T2"/>
    <mergeCell ref="I2:J2"/>
    <mergeCell ref="F2:H2"/>
    <mergeCell ref="B2:C2"/>
    <mergeCell ref="D2:E2"/>
  </mergeCells>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452C4A-96C7-4BD0-A088-5D1442BAE232}">
  <dimension ref="A1:U22"/>
  <sheetViews>
    <sheetView zoomScale="90" zoomScaleNormal="90" workbookViewId="0">
      <pane xSplit="1" topLeftCell="B1" activePane="topRight" state="frozen"/>
      <selection pane="topRight" activeCell="U18" sqref="U18"/>
    </sheetView>
  </sheetViews>
  <sheetFormatPr baseColWidth="10" defaultRowHeight="14.5" x14ac:dyDescent="0.35"/>
  <cols>
    <col min="1" max="1" width="17.81640625" bestFit="1" customWidth="1"/>
    <col min="2" max="20" width="8.08984375" customWidth="1"/>
    <col min="21" max="21" width="9.453125" bestFit="1" customWidth="1"/>
  </cols>
  <sheetData>
    <row r="1" spans="1:21" ht="15" thickBot="1" x14ac:dyDescent="0.4"/>
    <row r="2" spans="1:21" x14ac:dyDescent="0.35">
      <c r="A2" s="3"/>
      <c r="B2" s="338" t="s">
        <v>0</v>
      </c>
      <c r="C2" s="339"/>
      <c r="D2" s="340" t="s">
        <v>1</v>
      </c>
      <c r="E2" s="341"/>
      <c r="F2" s="342" t="s">
        <v>2</v>
      </c>
      <c r="G2" s="343"/>
      <c r="H2" s="344"/>
      <c r="I2" s="345" t="s">
        <v>3</v>
      </c>
      <c r="J2" s="346"/>
      <c r="K2" s="347" t="s">
        <v>8</v>
      </c>
      <c r="L2" s="348"/>
      <c r="M2" s="349" t="s">
        <v>4</v>
      </c>
      <c r="N2" s="350"/>
      <c r="O2" s="350"/>
      <c r="P2" s="351"/>
      <c r="Q2" s="8" t="s">
        <v>5</v>
      </c>
      <c r="R2" s="6" t="s">
        <v>6</v>
      </c>
      <c r="S2" s="329" t="s">
        <v>7</v>
      </c>
      <c r="T2" s="330"/>
      <c r="U2" s="331" t="s">
        <v>9</v>
      </c>
    </row>
    <row r="3" spans="1:21" ht="15" thickBot="1" x14ac:dyDescent="0.4">
      <c r="A3" s="268" t="s">
        <v>45</v>
      </c>
      <c r="B3" s="32" t="s">
        <v>12</v>
      </c>
      <c r="C3" s="30" t="s">
        <v>13</v>
      </c>
      <c r="D3" s="17" t="s">
        <v>14</v>
      </c>
      <c r="E3" s="18" t="s">
        <v>13</v>
      </c>
      <c r="F3" s="33" t="s">
        <v>15</v>
      </c>
      <c r="G3" s="19" t="s">
        <v>13</v>
      </c>
      <c r="H3" s="31" t="s">
        <v>11</v>
      </c>
      <c r="I3" s="34" t="s">
        <v>12</v>
      </c>
      <c r="J3" s="20" t="s">
        <v>11</v>
      </c>
      <c r="K3" s="21" t="s">
        <v>12</v>
      </c>
      <c r="L3" s="22" t="s">
        <v>16</v>
      </c>
      <c r="M3" s="29" t="s">
        <v>17</v>
      </c>
      <c r="N3" s="35" t="s">
        <v>16</v>
      </c>
      <c r="O3" s="36" t="s">
        <v>15</v>
      </c>
      <c r="P3" s="37" t="s">
        <v>11</v>
      </c>
      <c r="Q3" s="23" t="s">
        <v>11</v>
      </c>
      <c r="R3" s="24" t="s">
        <v>17</v>
      </c>
      <c r="S3" s="25" t="s">
        <v>17</v>
      </c>
      <c r="T3" s="26" t="s">
        <v>44</v>
      </c>
      <c r="U3" s="332"/>
    </row>
    <row r="4" spans="1:21" x14ac:dyDescent="0.35">
      <c r="A4" s="9" t="s">
        <v>22</v>
      </c>
      <c r="B4" s="38">
        <f>'Expected per WP'!B4-'Expenses per WP'!B4</f>
        <v>216369</v>
      </c>
      <c r="C4" s="39">
        <f>'Expected per WP'!C4-'Expenses per WP'!C4</f>
        <v>0</v>
      </c>
      <c r="D4" s="40">
        <f>'Expected per WP'!D4-'Expenses per WP'!D4</f>
        <v>220902.2</v>
      </c>
      <c r="E4" s="41">
        <f>'Expected per WP'!E4-'Expenses per WP'!E4</f>
        <v>0</v>
      </c>
      <c r="F4" s="163"/>
      <c r="G4" s="43">
        <f>'Expected per WP'!G4-'Expenses per WP'!G4</f>
        <v>200100</v>
      </c>
      <c r="H4" s="42">
        <f>'Expected per WP'!H4-'Expenses per WP'!H4</f>
        <v>130000</v>
      </c>
      <c r="I4" s="40">
        <f>'Expected per WP'!I4-'Expenses per WP'!I4</f>
        <v>53000</v>
      </c>
      <c r="J4" s="41">
        <f>'Expected per WP'!J4-'Expenses per WP'!J4</f>
        <v>120000</v>
      </c>
      <c r="K4" s="163"/>
      <c r="L4" s="39">
        <f>'Expected per WP'!L4-'Expenses per WP'!L4</f>
        <v>75000</v>
      </c>
      <c r="M4" s="42"/>
      <c r="N4" s="43">
        <f>'Expected per WP'!N4-'Expenses per WP'!N4</f>
        <v>75000</v>
      </c>
      <c r="O4" s="42"/>
      <c r="P4" s="166"/>
      <c r="Q4" s="167"/>
      <c r="R4" s="44"/>
      <c r="S4" s="42">
        <f>'Expected per WP'!S4-'Expenses per WP'!S4</f>
        <v>0</v>
      </c>
      <c r="T4" s="119"/>
      <c r="U4" s="45">
        <f>SUM(B4:T4)</f>
        <v>1090371.2</v>
      </c>
    </row>
    <row r="5" spans="1:21" ht="15" thickBot="1" x14ac:dyDescent="0.4">
      <c r="A5" s="12" t="s">
        <v>23</v>
      </c>
      <c r="B5" s="46">
        <f>'Expected per WP'!B5-'Expenses per WP'!B5</f>
        <v>113750</v>
      </c>
      <c r="C5" s="47">
        <f>'Expected per WP'!C5-'Expenses per WP'!C5</f>
        <v>216000</v>
      </c>
      <c r="D5" s="185"/>
      <c r="E5" s="186"/>
      <c r="F5" s="50">
        <f>'Expected per WP'!F5-'Expenses per WP'!F5</f>
        <v>99000</v>
      </c>
      <c r="G5" s="188"/>
      <c r="H5" s="50">
        <f>'Expected per WP'!H5-'Expenses per WP'!H5</f>
        <v>70000</v>
      </c>
      <c r="I5" s="48">
        <f>'Expected per WP'!I5-'Expenses per WP'!I5</f>
        <v>281750</v>
      </c>
      <c r="J5" s="49">
        <f>'Expected per WP'!J5-'Expenses per WP'!J5</f>
        <v>3000</v>
      </c>
      <c r="K5" s="50">
        <f>'Expected per WP'!K5-'Expenses per WP'!K5</f>
        <v>2000</v>
      </c>
      <c r="L5" s="52">
        <f>'Expected per WP'!L5-'Expenses per WP'!L5</f>
        <v>5000</v>
      </c>
      <c r="M5" s="46">
        <f>'Expected per WP'!M5-'Expenses per WP'!M5</f>
        <v>2000</v>
      </c>
      <c r="N5" s="51">
        <f>'Expected per WP'!N5-'Expenses per WP'!N5</f>
        <v>122000</v>
      </c>
      <c r="O5" s="50">
        <f>'Expected per WP'!O5-'Expenses per WP'!O5</f>
        <v>252000</v>
      </c>
      <c r="P5" s="52">
        <f>'Expected per WP'!P5-'Expenses per WP'!P5</f>
        <v>106000</v>
      </c>
      <c r="Q5" s="50">
        <f>'Expected per WP'!Q5-'Expenses per WP'!Q5</f>
        <v>24000</v>
      </c>
      <c r="R5" s="53">
        <f>'Expected per WP'!R5-'Expenses per WP'!R5</f>
        <v>35000</v>
      </c>
      <c r="S5" s="50">
        <f>'Expected per WP'!S5-'Expenses per WP'!S5</f>
        <v>17000</v>
      </c>
      <c r="T5" s="52">
        <f>'Expected per WP'!T5-'Expenses per WP'!T5</f>
        <v>11500</v>
      </c>
      <c r="U5" s="54">
        <f>SUM(B5:T5)</f>
        <v>1360000</v>
      </c>
    </row>
    <row r="6" spans="1:21" x14ac:dyDescent="0.35">
      <c r="A6" s="14" t="s">
        <v>28</v>
      </c>
      <c r="B6" s="55">
        <f>B4+B5</f>
        <v>330119</v>
      </c>
      <c r="C6" s="56">
        <f t="shared" ref="C6:T6" si="0">C4+C5</f>
        <v>216000</v>
      </c>
      <c r="D6" s="57">
        <f t="shared" si="0"/>
        <v>220902.2</v>
      </c>
      <c r="E6" s="58">
        <f t="shared" si="0"/>
        <v>0</v>
      </c>
      <c r="F6" s="59">
        <f t="shared" si="0"/>
        <v>99000</v>
      </c>
      <c r="G6" s="60">
        <f t="shared" si="0"/>
        <v>200100</v>
      </c>
      <c r="H6" s="59">
        <f t="shared" si="0"/>
        <v>200000</v>
      </c>
      <c r="I6" s="57">
        <f t="shared" si="0"/>
        <v>334750</v>
      </c>
      <c r="J6" s="58">
        <f t="shared" si="0"/>
        <v>123000</v>
      </c>
      <c r="K6" s="59">
        <f t="shared" si="0"/>
        <v>2000</v>
      </c>
      <c r="L6" s="61">
        <f t="shared" si="0"/>
        <v>80000</v>
      </c>
      <c r="M6" s="55">
        <f t="shared" si="0"/>
        <v>2000</v>
      </c>
      <c r="N6" s="60">
        <f t="shared" si="0"/>
        <v>197000</v>
      </c>
      <c r="O6" s="59">
        <f t="shared" si="0"/>
        <v>252000</v>
      </c>
      <c r="P6" s="62">
        <f t="shared" si="0"/>
        <v>106000</v>
      </c>
      <c r="Q6" s="59">
        <f t="shared" si="0"/>
        <v>24000</v>
      </c>
      <c r="R6" s="63">
        <f t="shared" si="0"/>
        <v>35000</v>
      </c>
      <c r="S6" s="59">
        <f t="shared" si="0"/>
        <v>17000</v>
      </c>
      <c r="T6" s="61">
        <f t="shared" si="0"/>
        <v>11500</v>
      </c>
      <c r="U6" s="64">
        <f>SUM(B6:S6)</f>
        <v>2438871.2000000002</v>
      </c>
    </row>
    <row r="7" spans="1:21" ht="15" thickBot="1" x14ac:dyDescent="0.4">
      <c r="A7" s="15" t="s">
        <v>26</v>
      </c>
      <c r="B7" s="352">
        <f>B6+C6</f>
        <v>546119</v>
      </c>
      <c r="C7" s="353"/>
      <c r="D7" s="352">
        <f>D6+E6</f>
        <v>220902.2</v>
      </c>
      <c r="E7" s="354"/>
      <c r="F7" s="353">
        <f>SUM(F6:H6)</f>
        <v>499100</v>
      </c>
      <c r="G7" s="353"/>
      <c r="H7" s="353"/>
      <c r="I7" s="352">
        <f>I6+J6</f>
        <v>457750</v>
      </c>
      <c r="J7" s="354"/>
      <c r="K7" s="353">
        <f>K6+L6</f>
        <v>82000</v>
      </c>
      <c r="L7" s="353"/>
      <c r="M7" s="352">
        <f>SUM(M6:P6)</f>
        <v>557000</v>
      </c>
      <c r="N7" s="353"/>
      <c r="O7" s="353"/>
      <c r="P7" s="354"/>
      <c r="Q7" s="65">
        <f>Q6</f>
        <v>24000</v>
      </c>
      <c r="R7" s="66">
        <f>R6</f>
        <v>35000</v>
      </c>
      <c r="S7" s="353">
        <f>S6+T6</f>
        <v>28500</v>
      </c>
      <c r="T7" s="353"/>
      <c r="U7" s="67">
        <f>SUM(B7:T7)</f>
        <v>2450371.2000000002</v>
      </c>
    </row>
    <row r="8" spans="1:21" x14ac:dyDescent="0.35">
      <c r="A8" s="13" t="s">
        <v>21</v>
      </c>
      <c r="B8" s="362">
        <v>989273.75</v>
      </c>
      <c r="C8" s="363"/>
      <c r="D8" s="362">
        <v>498937.5</v>
      </c>
      <c r="E8" s="364"/>
      <c r="F8" s="363">
        <v>621375</v>
      </c>
      <c r="G8" s="363"/>
      <c r="H8" s="363"/>
      <c r="I8" s="362">
        <v>572187.5</v>
      </c>
      <c r="J8" s="364"/>
      <c r="K8" s="363">
        <v>102500</v>
      </c>
      <c r="L8" s="363"/>
      <c r="M8" s="362">
        <v>1616250</v>
      </c>
      <c r="N8" s="363"/>
      <c r="O8" s="363"/>
      <c r="P8" s="364"/>
      <c r="Q8" s="68">
        <v>49500</v>
      </c>
      <c r="R8" s="69">
        <v>43750</v>
      </c>
      <c r="S8" s="358">
        <v>166250</v>
      </c>
      <c r="T8" s="358"/>
      <c r="U8" s="298">
        <f>SUM(B8:S8)</f>
        <v>4660023.75</v>
      </c>
    </row>
    <row r="9" spans="1:21" ht="15" thickBot="1" x14ac:dyDescent="0.4">
      <c r="A9" s="10" t="s">
        <v>18</v>
      </c>
      <c r="B9" s="359" t="s">
        <v>19</v>
      </c>
      <c r="C9" s="360"/>
      <c r="D9" s="359" t="s">
        <v>10</v>
      </c>
      <c r="E9" s="361"/>
      <c r="F9" s="360" t="s">
        <v>43</v>
      </c>
      <c r="G9" s="360"/>
      <c r="H9" s="360"/>
      <c r="I9" s="359" t="s">
        <v>20</v>
      </c>
      <c r="J9" s="361"/>
      <c r="K9" s="360" t="s">
        <v>19</v>
      </c>
      <c r="L9" s="360"/>
      <c r="M9" s="359" t="s">
        <v>20</v>
      </c>
      <c r="N9" s="360"/>
      <c r="O9" s="360"/>
      <c r="P9" s="361"/>
      <c r="Q9" s="5" t="s">
        <v>10</v>
      </c>
      <c r="R9" s="7" t="s">
        <v>10</v>
      </c>
      <c r="S9" s="360" t="s">
        <v>19</v>
      </c>
      <c r="T9" s="361"/>
      <c r="U9" s="11" t="s">
        <v>10</v>
      </c>
    </row>
    <row r="10" spans="1:21" x14ac:dyDescent="0.35">
      <c r="A10" s="3"/>
      <c r="B10" s="1"/>
      <c r="C10" s="1"/>
      <c r="D10" s="1"/>
      <c r="E10" s="1"/>
      <c r="F10" s="1"/>
      <c r="G10" s="1"/>
      <c r="H10" s="1"/>
      <c r="I10" s="1"/>
      <c r="J10" s="1"/>
      <c r="K10" s="1"/>
      <c r="L10" s="1"/>
      <c r="M10" s="1"/>
      <c r="N10" s="1"/>
      <c r="O10" s="1"/>
      <c r="P10" s="1"/>
      <c r="Q10" s="1"/>
      <c r="R10" s="1"/>
      <c r="S10" s="1"/>
      <c r="T10" s="1"/>
      <c r="U10" s="28"/>
    </row>
    <row r="11" spans="1:21" ht="15" thickBot="1" x14ac:dyDescent="0.4"/>
    <row r="12" spans="1:21" x14ac:dyDescent="0.35">
      <c r="A12" s="3"/>
      <c r="B12" s="338" t="s">
        <v>0</v>
      </c>
      <c r="C12" s="339"/>
      <c r="D12" s="340" t="s">
        <v>1</v>
      </c>
      <c r="E12" s="341"/>
      <c r="F12" s="342" t="s">
        <v>2</v>
      </c>
      <c r="G12" s="343"/>
      <c r="H12" s="344"/>
      <c r="I12" s="345" t="s">
        <v>3</v>
      </c>
      <c r="J12" s="346"/>
      <c r="K12" s="347" t="s">
        <v>8</v>
      </c>
      <c r="L12" s="348"/>
      <c r="M12" s="349" t="s">
        <v>4</v>
      </c>
      <c r="N12" s="350"/>
      <c r="O12" s="350"/>
      <c r="P12" s="351"/>
      <c r="Q12" s="8" t="s">
        <v>5</v>
      </c>
      <c r="R12" s="6" t="s">
        <v>6</v>
      </c>
      <c r="S12" s="329" t="s">
        <v>7</v>
      </c>
      <c r="T12" s="330"/>
      <c r="U12" s="331" t="s">
        <v>9</v>
      </c>
    </row>
    <row r="13" spans="1:21" ht="15" thickBot="1" x14ac:dyDescent="0.4">
      <c r="A13" s="268" t="s">
        <v>46</v>
      </c>
      <c r="B13" s="32" t="s">
        <v>12</v>
      </c>
      <c r="C13" s="30" t="s">
        <v>13</v>
      </c>
      <c r="D13" s="17" t="s">
        <v>14</v>
      </c>
      <c r="E13" s="18" t="s">
        <v>13</v>
      </c>
      <c r="F13" s="33" t="s">
        <v>15</v>
      </c>
      <c r="G13" s="19" t="s">
        <v>13</v>
      </c>
      <c r="H13" s="31" t="s">
        <v>11</v>
      </c>
      <c r="I13" s="34" t="s">
        <v>12</v>
      </c>
      <c r="J13" s="20" t="s">
        <v>11</v>
      </c>
      <c r="K13" s="21" t="s">
        <v>12</v>
      </c>
      <c r="L13" s="22" t="s">
        <v>16</v>
      </c>
      <c r="M13" s="29" t="s">
        <v>17</v>
      </c>
      <c r="N13" s="35" t="s">
        <v>16</v>
      </c>
      <c r="O13" s="36" t="s">
        <v>15</v>
      </c>
      <c r="P13" s="37" t="s">
        <v>11</v>
      </c>
      <c r="Q13" s="23" t="s">
        <v>11</v>
      </c>
      <c r="R13" s="24" t="s">
        <v>17</v>
      </c>
      <c r="S13" s="25" t="s">
        <v>17</v>
      </c>
      <c r="T13" s="26" t="s">
        <v>44</v>
      </c>
      <c r="U13" s="332"/>
    </row>
    <row r="14" spans="1:21" x14ac:dyDescent="0.35">
      <c r="A14" s="9" t="s">
        <v>22</v>
      </c>
      <c r="B14" s="176">
        <f>'Expenses per WP'!B4/'Expected per WP'!B4</f>
        <v>0</v>
      </c>
      <c r="C14" s="177">
        <f>'Expenses per WP'!C4/'Expected per WP'!C4</f>
        <v>1</v>
      </c>
      <c r="D14" s="178">
        <f>'Expenses per WP'!D4/'Expected per WP'!D4</f>
        <v>3.9973055193394176E-2</v>
      </c>
      <c r="E14" s="179">
        <f>'Expenses per WP'!E4/'Expected per WP'!E4</f>
        <v>1</v>
      </c>
      <c r="F14" s="180"/>
      <c r="G14" s="181">
        <f>'Expenses per WP'!G4/'Expected per WP'!G4</f>
        <v>0</v>
      </c>
      <c r="H14" s="180">
        <f>'Expenses per WP'!H4/'Expected per WP'!H4</f>
        <v>0</v>
      </c>
      <c r="I14" s="178">
        <f>'Expenses per WP'!I4/'Expected per WP'!I4</f>
        <v>0</v>
      </c>
      <c r="J14" s="179">
        <f>'Expenses per WP'!J4/'Expected per WP'!J4</f>
        <v>0</v>
      </c>
      <c r="K14" s="180"/>
      <c r="L14" s="177">
        <f>'Expenses per WP'!L4/'Expected per WP'!L4</f>
        <v>0</v>
      </c>
      <c r="M14" s="176"/>
      <c r="N14" s="181">
        <f>'Expenses per WP'!N4/'Expected per WP'!N4</f>
        <v>0</v>
      </c>
      <c r="O14" s="180"/>
      <c r="P14" s="177"/>
      <c r="Q14" s="180"/>
      <c r="R14" s="182"/>
      <c r="S14" s="180">
        <f>'Expenses per WP'!S4/'Expected per WP'!S4</f>
        <v>1</v>
      </c>
      <c r="T14" s="177"/>
      <c r="U14" s="203">
        <f>'Expenses per WP'!U4/'Expected per WP'!U4</f>
        <v>0.32855567303541622</v>
      </c>
    </row>
    <row r="15" spans="1:21" ht="15" thickBot="1" x14ac:dyDescent="0.4">
      <c r="A15" s="12" t="s">
        <v>23</v>
      </c>
      <c r="B15" s="183">
        <f>'Expenses per WP'!B5/'Expected per WP'!B5</f>
        <v>0</v>
      </c>
      <c r="C15" s="184">
        <f>'Expenses per WP'!C5/'Expected per WP'!C5</f>
        <v>0</v>
      </c>
      <c r="D15" s="185"/>
      <c r="E15" s="186"/>
      <c r="F15" s="187">
        <f>'Expenses per WP'!F5/'Expected per WP'!F5</f>
        <v>0</v>
      </c>
      <c r="G15" s="188"/>
      <c r="H15" s="187">
        <f>'Expenses per WP'!H5/'Expected per WP'!H5</f>
        <v>0</v>
      </c>
      <c r="I15" s="185">
        <f>'Expenses per WP'!I5/'Expected per WP'!I5</f>
        <v>0</v>
      </c>
      <c r="J15" s="186">
        <f>'Expenses per WP'!J5/'Expected per WP'!J5</f>
        <v>0</v>
      </c>
      <c r="K15" s="187">
        <f>'Expenses per WP'!K5/'Expected per WP'!K5</f>
        <v>0</v>
      </c>
      <c r="L15" s="189">
        <f>'Expenses per WP'!L5/'Expected per WP'!L5</f>
        <v>0</v>
      </c>
      <c r="M15" s="183">
        <f>'Expenses per WP'!M5/'Expected per WP'!M5</f>
        <v>0.99728997289972898</v>
      </c>
      <c r="N15" s="188">
        <f>'Expenses per WP'!N5/'Expected per WP'!N5</f>
        <v>0</v>
      </c>
      <c r="O15" s="187">
        <f>'Expenses per WP'!O5/'Expected per WP'!O5</f>
        <v>0</v>
      </c>
      <c r="P15" s="189">
        <f>'Expenses per WP'!P5/'Expected per WP'!P5</f>
        <v>0</v>
      </c>
      <c r="Q15" s="187">
        <f>'Expenses per WP'!Q5/'Expected per WP'!Q5</f>
        <v>0.4</v>
      </c>
      <c r="R15" s="190">
        <f>'Expenses per WP'!R5/'Expected per WP'!R5</f>
        <v>0</v>
      </c>
      <c r="S15" s="187">
        <f>'Expenses per WP'!S5/'Expected per WP'!S5</f>
        <v>0</v>
      </c>
      <c r="T15" s="189">
        <f>'Expenses per WP'!T5/'Expected per WP'!T5</f>
        <v>0.28125</v>
      </c>
      <c r="U15" s="204">
        <f>'Expenses per WP'!U5/'Expected per WP'!U5</f>
        <v>0.35742971887550201</v>
      </c>
    </row>
    <row r="16" spans="1:21" x14ac:dyDescent="0.35">
      <c r="A16" s="14" t="s">
        <v>28</v>
      </c>
      <c r="B16" s="192">
        <f>'Expenses per WP'!B6/'Expected per WP'!B6</f>
        <v>0</v>
      </c>
      <c r="C16" s="193">
        <f>'Expenses per WP'!C6/'Expected per WP'!C6</f>
        <v>0.5416931890515595</v>
      </c>
      <c r="D16" s="194">
        <f>'Expenses per WP'!D6/'Expected per WP'!D6</f>
        <v>3.9973055193394176E-2</v>
      </c>
      <c r="E16" s="195">
        <f>'Expenses per WP'!E6/'Expected per WP'!E6</f>
        <v>1</v>
      </c>
      <c r="F16" s="196">
        <f>'Expenses per WP'!F6/'Expected per WP'!F6</f>
        <v>0</v>
      </c>
      <c r="G16" s="197">
        <f>'Expenses per WP'!G6/'Expected per WP'!G6</f>
        <v>0</v>
      </c>
      <c r="H16" s="196">
        <f>'Expenses per WP'!H6/'Expected per WP'!H6</f>
        <v>0</v>
      </c>
      <c r="I16" s="194">
        <f>'Expenses per WP'!I6/'Expected per WP'!I6</f>
        <v>0</v>
      </c>
      <c r="J16" s="195">
        <f>'Expenses per WP'!J6/'Expected per WP'!J6</f>
        <v>0</v>
      </c>
      <c r="K16" s="196">
        <f>'Expenses per WP'!K6/'Expected per WP'!K6</f>
        <v>0</v>
      </c>
      <c r="L16" s="198">
        <f>'Expenses per WP'!L6/'Expected per WP'!L6</f>
        <v>0</v>
      </c>
      <c r="M16" s="192">
        <f>'Expenses per WP'!M6/'Expected per WP'!M6</f>
        <v>0.99728997289972898</v>
      </c>
      <c r="N16" s="197">
        <f>'Expenses per WP'!N6/'Expected per WP'!N6</f>
        <v>0</v>
      </c>
      <c r="O16" s="196">
        <f>'Expenses per WP'!O6/'Expected per WP'!O6</f>
        <v>0</v>
      </c>
      <c r="P16" s="199">
        <f>'Expenses per WP'!P6/'Expected per WP'!P6</f>
        <v>0</v>
      </c>
      <c r="Q16" s="196">
        <f>'Expenses per WP'!Q6/'Expected per WP'!Q6</f>
        <v>0.4</v>
      </c>
      <c r="R16" s="200">
        <f>'Expenses per WP'!R6/'Expected per WP'!R6</f>
        <v>0</v>
      </c>
      <c r="S16" s="196">
        <f>'Expenses per WP'!S6/'Expected per WP'!S6</f>
        <v>0.85470085470085466</v>
      </c>
      <c r="T16" s="198">
        <f>'Expenses per WP'!T6/'Expected per WP'!T6</f>
        <v>0.28125</v>
      </c>
      <c r="U16" s="205">
        <f>'Expenses per WP'!U6/'Expected per WP'!U6</f>
        <v>0.34516734019453776</v>
      </c>
    </row>
    <row r="17" spans="1:21" ht="15" thickBot="1" x14ac:dyDescent="0.4">
      <c r="A17" s="15" t="s">
        <v>26</v>
      </c>
      <c r="B17" s="365">
        <f>(B16+C16)/2</f>
        <v>0.27084659452577975</v>
      </c>
      <c r="C17" s="366"/>
      <c r="D17" s="365">
        <f>(D16+E16)/2</f>
        <v>0.51998652759669706</v>
      </c>
      <c r="E17" s="366"/>
      <c r="F17" s="367">
        <f>SUM(F16:H16)/3</f>
        <v>0</v>
      </c>
      <c r="G17" s="367"/>
      <c r="H17" s="367"/>
      <c r="I17" s="365">
        <f>(I16+J16)/2</f>
        <v>0</v>
      </c>
      <c r="J17" s="366"/>
      <c r="K17" s="367">
        <f>(K16+L16)/2</f>
        <v>0</v>
      </c>
      <c r="L17" s="367"/>
      <c r="M17" s="365">
        <f>SUM(M16:P16)/4</f>
        <v>0.24932249322493225</v>
      </c>
      <c r="N17" s="367"/>
      <c r="O17" s="367"/>
      <c r="P17" s="366"/>
      <c r="Q17" s="201">
        <f>Q16</f>
        <v>0.4</v>
      </c>
      <c r="R17" s="202">
        <f>R16</f>
        <v>0</v>
      </c>
      <c r="S17" s="367">
        <f>(S16+T16)/2</f>
        <v>0.56797542735042739</v>
      </c>
      <c r="T17" s="367"/>
      <c r="U17" s="206">
        <f>'Expenses per WP'!U7/'Expected per WP'!U7</f>
        <v>0.3448939276589067</v>
      </c>
    </row>
    <row r="18" spans="1:21" x14ac:dyDescent="0.35">
      <c r="A18" s="13" t="s">
        <v>21</v>
      </c>
      <c r="B18" s="362">
        <v>989273.75</v>
      </c>
      <c r="C18" s="363"/>
      <c r="D18" s="362">
        <v>498937.5</v>
      </c>
      <c r="E18" s="364"/>
      <c r="F18" s="363">
        <v>621375</v>
      </c>
      <c r="G18" s="363"/>
      <c r="H18" s="363"/>
      <c r="I18" s="362">
        <v>572187.5</v>
      </c>
      <c r="J18" s="364"/>
      <c r="K18" s="363">
        <v>102500</v>
      </c>
      <c r="L18" s="363"/>
      <c r="M18" s="362">
        <v>1616250</v>
      </c>
      <c r="N18" s="363"/>
      <c r="O18" s="363"/>
      <c r="P18" s="364"/>
      <c r="Q18" s="68">
        <v>49500</v>
      </c>
      <c r="R18" s="69">
        <v>43750</v>
      </c>
      <c r="S18" s="358">
        <v>166250</v>
      </c>
      <c r="T18" s="358"/>
      <c r="U18" s="298">
        <f>SUM(B18:S18)</f>
        <v>4660023.75</v>
      </c>
    </row>
    <row r="19" spans="1:21" ht="15" thickBot="1" x14ac:dyDescent="0.4">
      <c r="A19" s="10" t="s">
        <v>18</v>
      </c>
      <c r="B19" s="359" t="s">
        <v>19</v>
      </c>
      <c r="C19" s="360"/>
      <c r="D19" s="359" t="s">
        <v>10</v>
      </c>
      <c r="E19" s="361"/>
      <c r="F19" s="360" t="s">
        <v>43</v>
      </c>
      <c r="G19" s="360"/>
      <c r="H19" s="360"/>
      <c r="I19" s="359" t="s">
        <v>20</v>
      </c>
      <c r="J19" s="361"/>
      <c r="K19" s="360" t="s">
        <v>19</v>
      </c>
      <c r="L19" s="360"/>
      <c r="M19" s="359" t="s">
        <v>20</v>
      </c>
      <c r="N19" s="360"/>
      <c r="O19" s="360"/>
      <c r="P19" s="361"/>
      <c r="Q19" s="5" t="s">
        <v>10</v>
      </c>
      <c r="R19" s="7" t="s">
        <v>10</v>
      </c>
      <c r="S19" s="359" t="s">
        <v>19</v>
      </c>
      <c r="T19" s="361"/>
      <c r="U19" s="11" t="s">
        <v>10</v>
      </c>
    </row>
    <row r="20" spans="1:21" x14ac:dyDescent="0.35">
      <c r="A20" s="3"/>
      <c r="B20" s="1"/>
      <c r="C20" s="1"/>
      <c r="D20" s="1"/>
      <c r="E20" s="1"/>
      <c r="F20" s="1"/>
      <c r="G20" s="1"/>
      <c r="H20" s="1"/>
      <c r="I20" s="1"/>
      <c r="J20" s="1"/>
      <c r="K20" s="1"/>
      <c r="L20" s="1"/>
      <c r="M20" s="1"/>
      <c r="N20" s="1"/>
      <c r="O20" s="1"/>
      <c r="P20" s="1"/>
      <c r="Q20" s="1"/>
      <c r="R20" s="1"/>
      <c r="S20" s="1"/>
      <c r="T20" s="1"/>
      <c r="U20" s="191"/>
    </row>
    <row r="21" spans="1:21" x14ac:dyDescent="0.35">
      <c r="A21" s="3"/>
      <c r="B21" s="1"/>
      <c r="C21" s="1"/>
      <c r="D21" s="1"/>
      <c r="E21" s="1"/>
      <c r="F21" s="1"/>
      <c r="G21" s="1"/>
      <c r="H21" s="1"/>
      <c r="I21" s="1"/>
      <c r="J21" s="1"/>
      <c r="K21" s="1"/>
      <c r="L21" s="1"/>
      <c r="M21" s="1"/>
      <c r="N21" s="1"/>
      <c r="O21" s="1"/>
      <c r="P21" s="1"/>
      <c r="Q21" s="1"/>
      <c r="R21" s="1"/>
      <c r="S21" s="1"/>
      <c r="T21" s="1"/>
      <c r="U21" s="174"/>
    </row>
    <row r="22" spans="1:21" x14ac:dyDescent="0.35">
      <c r="A22" s="3"/>
      <c r="B22" s="1"/>
      <c r="C22" s="1"/>
      <c r="D22" s="1"/>
      <c r="E22" s="1"/>
      <c r="F22" s="1"/>
      <c r="G22" s="1"/>
      <c r="H22" s="1"/>
      <c r="I22" s="1"/>
      <c r="J22" s="1"/>
      <c r="K22" s="1"/>
      <c r="L22" s="1"/>
      <c r="M22" s="1"/>
      <c r="N22" s="1"/>
      <c r="O22" s="1"/>
      <c r="P22" s="1"/>
      <c r="Q22" s="1"/>
      <c r="R22" s="1"/>
      <c r="S22" s="1"/>
      <c r="T22" s="1"/>
      <c r="U22" s="175"/>
    </row>
  </sheetData>
  <mergeCells count="58">
    <mergeCell ref="S2:T2"/>
    <mergeCell ref="U2:U3"/>
    <mergeCell ref="B7:C7"/>
    <mergeCell ref="D7:E7"/>
    <mergeCell ref="F7:H7"/>
    <mergeCell ref="I7:J7"/>
    <mergeCell ref="K7:L7"/>
    <mergeCell ref="M7:P7"/>
    <mergeCell ref="S7:T7"/>
    <mergeCell ref="B2:C2"/>
    <mergeCell ref="D2:E2"/>
    <mergeCell ref="F2:H2"/>
    <mergeCell ref="I2:J2"/>
    <mergeCell ref="K2:L2"/>
    <mergeCell ref="M2:P2"/>
    <mergeCell ref="S8:T8"/>
    <mergeCell ref="B9:C9"/>
    <mergeCell ref="D9:E9"/>
    <mergeCell ref="F9:H9"/>
    <mergeCell ref="I9:J9"/>
    <mergeCell ref="K9:L9"/>
    <mergeCell ref="M9:P9"/>
    <mergeCell ref="S9:T9"/>
    <mergeCell ref="B8:C8"/>
    <mergeCell ref="D8:E8"/>
    <mergeCell ref="F8:H8"/>
    <mergeCell ref="I8:J8"/>
    <mergeCell ref="K8:L8"/>
    <mergeCell ref="M8:P8"/>
    <mergeCell ref="S12:T12"/>
    <mergeCell ref="U12:U13"/>
    <mergeCell ref="B17:C17"/>
    <mergeCell ref="D17:E17"/>
    <mergeCell ref="F17:H17"/>
    <mergeCell ref="I17:J17"/>
    <mergeCell ref="K17:L17"/>
    <mergeCell ref="M17:P17"/>
    <mergeCell ref="S17:T17"/>
    <mergeCell ref="B12:C12"/>
    <mergeCell ref="D12:E12"/>
    <mergeCell ref="F12:H12"/>
    <mergeCell ref="I12:J12"/>
    <mergeCell ref="K12:L12"/>
    <mergeCell ref="M12:P12"/>
    <mergeCell ref="S18:T18"/>
    <mergeCell ref="B19:C19"/>
    <mergeCell ref="D19:E19"/>
    <mergeCell ref="F19:H19"/>
    <mergeCell ref="I19:J19"/>
    <mergeCell ref="K19:L19"/>
    <mergeCell ref="M19:P19"/>
    <mergeCell ref="S19:T19"/>
    <mergeCell ref="B18:C18"/>
    <mergeCell ref="D18:E18"/>
    <mergeCell ref="F18:H18"/>
    <mergeCell ref="I18:J18"/>
    <mergeCell ref="K18:L18"/>
    <mergeCell ref="M18:P18"/>
  </mergeCell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29A230-3AAF-467C-B5C6-902D2C7C2977}">
  <dimension ref="A1:AH21"/>
  <sheetViews>
    <sheetView zoomScale="90" zoomScaleNormal="90" workbookViewId="0">
      <pane xSplit="1" topLeftCell="B1" activePane="topRight" state="frozen"/>
      <selection pane="topRight" activeCell="G16" sqref="G16"/>
    </sheetView>
  </sheetViews>
  <sheetFormatPr baseColWidth="10" defaultRowHeight="14.5" x14ac:dyDescent="0.35"/>
  <cols>
    <col min="1" max="1" width="17.81640625" bestFit="1" customWidth="1"/>
    <col min="2" max="20" width="8.08984375" customWidth="1"/>
    <col min="21" max="21" width="11.7265625" bestFit="1" customWidth="1"/>
    <col min="22" max="22" width="8.08984375" customWidth="1"/>
  </cols>
  <sheetData>
    <row r="1" spans="1:34" ht="15" thickBot="1" x14ac:dyDescent="0.4">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row>
    <row r="2" spans="1:34" x14ac:dyDescent="0.35">
      <c r="A2" s="3"/>
      <c r="B2" s="395" t="s">
        <v>15</v>
      </c>
      <c r="C2" s="396"/>
      <c r="D2" s="397" t="s">
        <v>12</v>
      </c>
      <c r="E2" s="398"/>
      <c r="F2" s="399"/>
      <c r="G2" s="400" t="s">
        <v>17</v>
      </c>
      <c r="H2" s="401"/>
      <c r="I2" s="402"/>
      <c r="J2" s="81" t="s">
        <v>14</v>
      </c>
      <c r="K2" s="403" t="s">
        <v>16</v>
      </c>
      <c r="L2" s="404"/>
      <c r="M2" s="389" t="s">
        <v>13</v>
      </c>
      <c r="N2" s="390"/>
      <c r="O2" s="391"/>
      <c r="P2" s="392" t="s">
        <v>11</v>
      </c>
      <c r="Q2" s="393"/>
      <c r="R2" s="393"/>
      <c r="S2" s="394"/>
      <c r="T2" s="85" t="s">
        <v>44</v>
      </c>
      <c r="U2" s="384" t="s">
        <v>9</v>
      </c>
      <c r="V2" s="70"/>
      <c r="W2" s="70"/>
      <c r="X2" s="70"/>
      <c r="Y2" s="70"/>
      <c r="Z2" s="70"/>
      <c r="AA2" s="70"/>
      <c r="AB2" s="70"/>
      <c r="AC2" s="70"/>
      <c r="AD2" s="70"/>
      <c r="AE2" s="70"/>
      <c r="AF2" s="70"/>
      <c r="AG2" s="70"/>
      <c r="AH2" s="70"/>
    </row>
    <row r="3" spans="1:34" ht="15" thickBot="1" x14ac:dyDescent="0.4">
      <c r="A3" s="3"/>
      <c r="B3" s="121" t="s">
        <v>2</v>
      </c>
      <c r="C3" s="122" t="s">
        <v>4</v>
      </c>
      <c r="D3" s="123" t="s">
        <v>0</v>
      </c>
      <c r="E3" s="124" t="s">
        <v>3</v>
      </c>
      <c r="F3" s="125" t="s">
        <v>8</v>
      </c>
      <c r="G3" s="126" t="s">
        <v>4</v>
      </c>
      <c r="H3" s="127" t="s">
        <v>6</v>
      </c>
      <c r="I3" s="128" t="s">
        <v>7</v>
      </c>
      <c r="J3" s="129" t="s">
        <v>1</v>
      </c>
      <c r="K3" s="130" t="s">
        <v>8</v>
      </c>
      <c r="L3" s="131" t="s">
        <v>4</v>
      </c>
      <c r="M3" s="132" t="s">
        <v>0</v>
      </c>
      <c r="N3" s="127" t="s">
        <v>1</v>
      </c>
      <c r="O3" s="128" t="s">
        <v>2</v>
      </c>
      <c r="P3" s="121" t="s">
        <v>2</v>
      </c>
      <c r="Q3" s="133" t="s">
        <v>3</v>
      </c>
      <c r="R3" s="133" t="s">
        <v>4</v>
      </c>
      <c r="S3" s="134" t="s">
        <v>5</v>
      </c>
      <c r="T3" s="135" t="s">
        <v>7</v>
      </c>
      <c r="U3" s="385"/>
      <c r="V3" s="71"/>
      <c r="W3" s="71"/>
      <c r="X3" s="71"/>
      <c r="Y3" s="71"/>
      <c r="Z3" s="71"/>
      <c r="AA3" s="71"/>
      <c r="AB3" s="71"/>
      <c r="AC3" s="71"/>
      <c r="AD3" s="71"/>
      <c r="AE3" s="71"/>
      <c r="AF3" s="71"/>
      <c r="AG3" s="71"/>
      <c r="AH3" s="71"/>
    </row>
    <row r="4" spans="1:34" x14ac:dyDescent="0.35">
      <c r="A4" s="9" t="s">
        <v>22</v>
      </c>
      <c r="B4" s="136"/>
      <c r="C4" s="119"/>
      <c r="D4" s="137">
        <f>'Expected per WP'!B4</f>
        <v>216369</v>
      </c>
      <c r="E4" s="138">
        <f>'Expected per WP'!I4</f>
        <v>53000</v>
      </c>
      <c r="F4" s="139"/>
      <c r="G4" s="140"/>
      <c r="H4" s="138"/>
      <c r="I4" s="141">
        <f>'Expected per WP'!S4</f>
        <v>100000</v>
      </c>
      <c r="J4" s="142">
        <f>'Expected per WP'!D4</f>
        <v>230100</v>
      </c>
      <c r="K4" s="140">
        <f>'Expected per WP'!L4</f>
        <v>75000</v>
      </c>
      <c r="L4" s="141">
        <f>'Expected per WP'!N4</f>
        <v>75000</v>
      </c>
      <c r="M4" s="137">
        <f>'Expected per WP'!C4</f>
        <v>255300</v>
      </c>
      <c r="N4" s="138">
        <f>'Expected per WP'!E4</f>
        <v>169050</v>
      </c>
      <c r="O4" s="141">
        <f>'Expected per WP'!G4</f>
        <v>200100</v>
      </c>
      <c r="P4" s="137">
        <f>'Expected per WP'!H4</f>
        <v>130000</v>
      </c>
      <c r="Q4" s="138">
        <f>'Expected per WP'!J4</f>
        <v>120000</v>
      </c>
      <c r="R4" s="138"/>
      <c r="S4" s="139"/>
      <c r="T4" s="143"/>
      <c r="U4" s="144">
        <f>SUM(B4:T4)</f>
        <v>1623919</v>
      </c>
      <c r="V4" s="71"/>
      <c r="W4" s="71"/>
      <c r="X4" s="71"/>
      <c r="Y4" s="71"/>
      <c r="Z4" s="71"/>
      <c r="AA4" s="71"/>
      <c r="AB4" s="71"/>
      <c r="AC4" s="71"/>
      <c r="AD4" s="71"/>
      <c r="AE4" s="71"/>
      <c r="AF4" s="71"/>
      <c r="AG4" s="71"/>
      <c r="AH4" s="71"/>
    </row>
    <row r="5" spans="1:34" ht="15" thickBot="1" x14ac:dyDescent="0.4">
      <c r="A5" s="12" t="s">
        <v>23</v>
      </c>
      <c r="B5" s="50">
        <f>'Expected per WP'!F5</f>
        <v>99000</v>
      </c>
      <c r="C5" s="120">
        <f>'Expected per WP'!O5</f>
        <v>252000</v>
      </c>
      <c r="D5" s="94">
        <f>'Expected per WP'!B5</f>
        <v>113750</v>
      </c>
      <c r="E5" s="96">
        <f>'Expected per WP'!I5</f>
        <v>281750</v>
      </c>
      <c r="F5" s="97">
        <f>'Expected per WP'!K5</f>
        <v>2000</v>
      </c>
      <c r="G5" s="98">
        <f>'Expected per WP'!M5</f>
        <v>738000</v>
      </c>
      <c r="H5" s="96">
        <f>'Expected per WP'!R5</f>
        <v>35000</v>
      </c>
      <c r="I5" s="95">
        <f>'Expected per WP'!S5</f>
        <v>17000</v>
      </c>
      <c r="J5" s="99"/>
      <c r="K5" s="98">
        <f>'Expected per WP'!L5</f>
        <v>5000</v>
      </c>
      <c r="L5" s="95">
        <f>'Expected per WP'!N5</f>
        <v>122000</v>
      </c>
      <c r="M5" s="94">
        <f>'Expected per WP'!C5</f>
        <v>216000</v>
      </c>
      <c r="N5" s="96"/>
      <c r="O5" s="95"/>
      <c r="P5" s="94">
        <f>'Expected per WP'!H5</f>
        <v>70000</v>
      </c>
      <c r="Q5" s="96">
        <f>'Expected per WP'!J5</f>
        <v>3000</v>
      </c>
      <c r="R5" s="96">
        <f>'Expected per WP'!P5</f>
        <v>106000</v>
      </c>
      <c r="S5" s="97">
        <f>'Expected per WP'!Q5</f>
        <v>40000</v>
      </c>
      <c r="T5" s="100">
        <f>'Expected per WP'!T5</f>
        <v>16000</v>
      </c>
      <c r="U5" s="101">
        <f t="shared" ref="U5:U10" si="0">SUM(B5:T5)</f>
        <v>2116500</v>
      </c>
      <c r="V5" s="71"/>
      <c r="W5" s="71"/>
      <c r="X5" s="71"/>
      <c r="Y5" s="71"/>
      <c r="Z5" s="71"/>
      <c r="AA5" s="71"/>
      <c r="AB5" s="71"/>
      <c r="AC5" s="71"/>
      <c r="AD5" s="71"/>
      <c r="AE5" s="71"/>
      <c r="AF5" s="71"/>
      <c r="AG5" s="71"/>
      <c r="AH5" s="71"/>
    </row>
    <row r="6" spans="1:34" x14ac:dyDescent="0.35">
      <c r="A6" s="14" t="s">
        <v>29</v>
      </c>
      <c r="B6" s="102">
        <f>B4+B5</f>
        <v>99000</v>
      </c>
      <c r="C6" s="103">
        <f t="shared" ref="C6:T6" si="1">C4+C5</f>
        <v>252000</v>
      </c>
      <c r="D6" s="102">
        <f>D4+D5</f>
        <v>330119</v>
      </c>
      <c r="E6" s="104">
        <f t="shared" si="1"/>
        <v>334750</v>
      </c>
      <c r="F6" s="105">
        <f t="shared" si="1"/>
        <v>2000</v>
      </c>
      <c r="G6" s="106">
        <f t="shared" si="1"/>
        <v>738000</v>
      </c>
      <c r="H6" s="104">
        <f t="shared" si="1"/>
        <v>35000</v>
      </c>
      <c r="I6" s="103">
        <f t="shared" si="1"/>
        <v>117000</v>
      </c>
      <c r="J6" s="107">
        <f t="shared" si="1"/>
        <v>230100</v>
      </c>
      <c r="K6" s="106">
        <f t="shared" si="1"/>
        <v>80000</v>
      </c>
      <c r="L6" s="103">
        <f t="shared" si="1"/>
        <v>197000</v>
      </c>
      <c r="M6" s="102">
        <f t="shared" si="1"/>
        <v>471300</v>
      </c>
      <c r="N6" s="104">
        <f t="shared" si="1"/>
        <v>169050</v>
      </c>
      <c r="O6" s="103">
        <f t="shared" si="1"/>
        <v>200100</v>
      </c>
      <c r="P6" s="102">
        <f t="shared" si="1"/>
        <v>200000</v>
      </c>
      <c r="Q6" s="104">
        <f t="shared" si="1"/>
        <v>123000</v>
      </c>
      <c r="R6" s="104">
        <f t="shared" si="1"/>
        <v>106000</v>
      </c>
      <c r="S6" s="105">
        <f t="shared" si="1"/>
        <v>40000</v>
      </c>
      <c r="T6" s="108">
        <f t="shared" si="1"/>
        <v>16000</v>
      </c>
      <c r="U6" s="109">
        <f t="shared" si="0"/>
        <v>3740419</v>
      </c>
      <c r="V6" s="71"/>
      <c r="W6" s="71"/>
      <c r="X6" s="71"/>
      <c r="Y6" s="71"/>
      <c r="Z6" s="71"/>
      <c r="AA6" s="71"/>
      <c r="AB6" s="71"/>
      <c r="AC6" s="71"/>
      <c r="AD6" s="71"/>
      <c r="AE6" s="71"/>
      <c r="AF6" s="71"/>
      <c r="AG6" s="71"/>
      <c r="AH6" s="71"/>
    </row>
    <row r="7" spans="1:34" ht="15" thickBot="1" x14ac:dyDescent="0.4">
      <c r="A7" s="15" t="s">
        <v>27</v>
      </c>
      <c r="B7" s="386">
        <f>B6+C6</f>
        <v>351000</v>
      </c>
      <c r="C7" s="387"/>
      <c r="D7" s="386">
        <f>D6+E6+F6</f>
        <v>666869</v>
      </c>
      <c r="E7" s="388"/>
      <c r="F7" s="387"/>
      <c r="G7" s="386">
        <f>G6+H6+I6</f>
        <v>890000</v>
      </c>
      <c r="H7" s="388"/>
      <c r="I7" s="387"/>
      <c r="J7" s="110">
        <f>J6</f>
        <v>230100</v>
      </c>
      <c r="K7" s="386">
        <f>K6+L6</f>
        <v>277000</v>
      </c>
      <c r="L7" s="387"/>
      <c r="M7" s="386">
        <f>M6+N6+O6</f>
        <v>840450</v>
      </c>
      <c r="N7" s="388"/>
      <c r="O7" s="387"/>
      <c r="P7" s="386">
        <f>P6+Q6+R6+S6</f>
        <v>469000</v>
      </c>
      <c r="Q7" s="388"/>
      <c r="R7" s="388"/>
      <c r="S7" s="387"/>
      <c r="T7" s="111">
        <f>T6</f>
        <v>16000</v>
      </c>
      <c r="U7" s="112">
        <f t="shared" si="0"/>
        <v>3740419</v>
      </c>
      <c r="V7" s="71"/>
      <c r="W7" s="71"/>
      <c r="X7" s="71"/>
      <c r="Y7" s="71"/>
      <c r="Z7" s="71"/>
      <c r="AA7" s="71"/>
      <c r="AB7" s="71"/>
      <c r="AC7" s="71"/>
      <c r="AD7" s="71"/>
      <c r="AE7" s="71"/>
      <c r="AF7" s="71"/>
      <c r="AG7" s="71"/>
      <c r="AH7" s="71"/>
    </row>
    <row r="8" spans="1:34" x14ac:dyDescent="0.35">
      <c r="A8" s="212" t="s">
        <v>24</v>
      </c>
      <c r="B8" s="229">
        <f>(B6-10000)*0.25</f>
        <v>22250</v>
      </c>
      <c r="C8" s="225">
        <f t="shared" ref="C8:R8" si="2">C6*0.25</f>
        <v>63000</v>
      </c>
      <c r="D8" s="231">
        <f>(D6-50000)*0.25</f>
        <v>70029.75</v>
      </c>
      <c r="E8" s="232">
        <f t="shared" si="2"/>
        <v>83687.5</v>
      </c>
      <c r="F8" s="233">
        <f t="shared" si="2"/>
        <v>500</v>
      </c>
      <c r="G8" s="229">
        <f t="shared" si="2"/>
        <v>184500</v>
      </c>
      <c r="H8" s="230">
        <f t="shared" si="2"/>
        <v>8750</v>
      </c>
      <c r="I8" s="225">
        <f t="shared" si="2"/>
        <v>29250</v>
      </c>
      <c r="J8" s="226">
        <f t="shared" si="2"/>
        <v>57525</v>
      </c>
      <c r="K8" s="229">
        <f t="shared" si="2"/>
        <v>20000</v>
      </c>
      <c r="L8" s="225">
        <f t="shared" si="2"/>
        <v>49250</v>
      </c>
      <c r="M8" s="229">
        <f t="shared" si="2"/>
        <v>117825</v>
      </c>
      <c r="N8" s="230">
        <f t="shared" si="2"/>
        <v>42262.5</v>
      </c>
      <c r="O8" s="225">
        <f t="shared" si="2"/>
        <v>50025</v>
      </c>
      <c r="P8" s="231">
        <f t="shared" si="2"/>
        <v>50000</v>
      </c>
      <c r="Q8" s="232">
        <f t="shared" si="2"/>
        <v>30750</v>
      </c>
      <c r="R8" s="232">
        <f t="shared" si="2"/>
        <v>26500</v>
      </c>
      <c r="S8" s="233">
        <f>(S6-2000)*0.25</f>
        <v>9500</v>
      </c>
      <c r="T8" s="225">
        <f>T7*0.25</f>
        <v>4000</v>
      </c>
      <c r="U8" s="109">
        <f t="shared" si="0"/>
        <v>919604.75</v>
      </c>
      <c r="V8" s="71"/>
      <c r="W8" s="71"/>
      <c r="X8" s="71"/>
      <c r="Y8" s="71"/>
      <c r="Z8" s="71"/>
      <c r="AA8" s="71"/>
      <c r="AB8" s="71"/>
      <c r="AC8" s="71"/>
      <c r="AD8" s="71"/>
      <c r="AE8" s="71"/>
      <c r="AF8" s="71"/>
      <c r="AG8" s="71"/>
      <c r="AH8" s="71"/>
    </row>
    <row r="9" spans="1:34" x14ac:dyDescent="0.35">
      <c r="A9" s="207" t="s">
        <v>30</v>
      </c>
      <c r="B9" s="372">
        <f>B7+B8+C8</f>
        <v>436250</v>
      </c>
      <c r="C9" s="374"/>
      <c r="D9" s="369">
        <f>D7+D8+E8+F8</f>
        <v>821086.25</v>
      </c>
      <c r="E9" s="370"/>
      <c r="F9" s="371"/>
      <c r="G9" s="372">
        <f>G7+G8+H8+I8</f>
        <v>1112500</v>
      </c>
      <c r="H9" s="373"/>
      <c r="I9" s="374"/>
      <c r="J9" s="228">
        <f>J7+J8</f>
        <v>287625</v>
      </c>
      <c r="K9" s="372">
        <f>K7+K8+L8</f>
        <v>346250</v>
      </c>
      <c r="L9" s="374"/>
      <c r="M9" s="375">
        <f>M7+M8+N8+O8</f>
        <v>1050562.5</v>
      </c>
      <c r="N9" s="376"/>
      <c r="O9" s="377"/>
      <c r="P9" s="372">
        <f>P7+P8+Q8+R8+S8</f>
        <v>585750</v>
      </c>
      <c r="Q9" s="373"/>
      <c r="R9" s="373"/>
      <c r="S9" s="374"/>
      <c r="T9" s="227">
        <f>T7+T8</f>
        <v>20000</v>
      </c>
      <c r="U9" s="235">
        <f t="shared" si="0"/>
        <v>4660023.75</v>
      </c>
      <c r="V9" s="71"/>
      <c r="W9" s="71"/>
      <c r="X9" s="71"/>
      <c r="Y9" s="71"/>
      <c r="Z9" s="71"/>
      <c r="AA9" s="71"/>
      <c r="AB9" s="71"/>
      <c r="AC9" s="71"/>
      <c r="AD9" s="71"/>
      <c r="AE9" s="71"/>
      <c r="AF9" s="71"/>
      <c r="AG9" s="71"/>
      <c r="AH9" s="71"/>
    </row>
    <row r="10" spans="1:34" ht="15" thickBot="1" x14ac:dyDescent="0.4">
      <c r="A10" s="145" t="s">
        <v>21</v>
      </c>
      <c r="B10" s="381">
        <v>436250</v>
      </c>
      <c r="C10" s="383"/>
      <c r="D10" s="381">
        <v>821086.25</v>
      </c>
      <c r="E10" s="382"/>
      <c r="F10" s="383"/>
      <c r="G10" s="381">
        <v>1112500</v>
      </c>
      <c r="H10" s="382"/>
      <c r="I10" s="383"/>
      <c r="J10" s="146">
        <v>287625</v>
      </c>
      <c r="K10" s="381">
        <v>346250</v>
      </c>
      <c r="L10" s="383"/>
      <c r="M10" s="378">
        <v>1050562.5</v>
      </c>
      <c r="N10" s="379"/>
      <c r="O10" s="380"/>
      <c r="P10" s="381">
        <v>585750</v>
      </c>
      <c r="Q10" s="382"/>
      <c r="R10" s="382"/>
      <c r="S10" s="383"/>
      <c r="T10" s="147">
        <v>20000</v>
      </c>
      <c r="U10" s="262">
        <f t="shared" si="0"/>
        <v>4660023.75</v>
      </c>
      <c r="V10" s="71"/>
      <c r="W10" s="71"/>
      <c r="X10" s="71"/>
      <c r="Y10" s="71"/>
      <c r="Z10" s="71"/>
      <c r="AA10" s="71"/>
      <c r="AB10" s="71"/>
      <c r="AC10" s="71"/>
      <c r="AD10" s="71"/>
      <c r="AE10" s="71"/>
      <c r="AF10" s="71"/>
      <c r="AG10" s="71"/>
      <c r="AH10" s="71"/>
    </row>
    <row r="11" spans="1:34" x14ac:dyDescent="0.35">
      <c r="A11" s="3"/>
      <c r="B11" s="70"/>
      <c r="C11" s="70"/>
      <c r="D11" s="70"/>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row>
    <row r="12" spans="1:34" x14ac:dyDescent="0.35">
      <c r="A12" s="3"/>
      <c r="B12" s="70"/>
      <c r="C12" s="70"/>
      <c r="D12" s="70"/>
      <c r="E12" s="70"/>
      <c r="F12" s="70"/>
      <c r="G12" s="70"/>
      <c r="H12" s="70"/>
      <c r="I12" s="70"/>
      <c r="J12" s="70"/>
      <c r="K12" s="261"/>
      <c r="L12" s="70"/>
      <c r="M12" s="70"/>
      <c r="N12" s="70"/>
      <c r="O12" s="70"/>
      <c r="P12" s="70"/>
      <c r="Q12" s="70"/>
      <c r="R12" s="70"/>
      <c r="S12" s="368" t="s">
        <v>39</v>
      </c>
      <c r="T12" s="368"/>
      <c r="U12" s="267">
        <v>3728019</v>
      </c>
      <c r="V12" s="70"/>
      <c r="W12" s="70"/>
      <c r="X12" s="70"/>
      <c r="Y12" s="70"/>
      <c r="Z12" s="70"/>
      <c r="AA12" s="70"/>
      <c r="AB12" s="70"/>
      <c r="AC12" s="70"/>
      <c r="AD12" s="70"/>
      <c r="AE12" s="70"/>
      <c r="AF12" s="70"/>
      <c r="AG12" s="70"/>
      <c r="AH12" s="70"/>
    </row>
    <row r="13" spans="1:34" x14ac:dyDescent="0.35">
      <c r="A13" s="3"/>
      <c r="B13" s="70"/>
      <c r="C13" s="70"/>
      <c r="D13" s="234"/>
      <c r="E13" s="70"/>
      <c r="F13" s="70"/>
      <c r="G13" s="70"/>
      <c r="H13" s="70"/>
      <c r="I13" s="70"/>
      <c r="J13" s="70"/>
      <c r="K13" s="70"/>
      <c r="L13" s="70"/>
      <c r="M13" s="70"/>
      <c r="N13" s="70"/>
      <c r="O13" s="70"/>
      <c r="P13" s="70"/>
      <c r="Q13" s="70"/>
      <c r="R13" s="368" t="s">
        <v>40</v>
      </c>
      <c r="S13" s="368"/>
      <c r="T13" s="368"/>
      <c r="U13" s="252">
        <v>233001.19</v>
      </c>
      <c r="V13" s="70"/>
      <c r="W13" s="70"/>
      <c r="X13" s="70"/>
      <c r="Y13" s="70"/>
      <c r="Z13" s="70"/>
      <c r="AA13" s="70"/>
      <c r="AB13" s="70"/>
      <c r="AC13" s="70"/>
      <c r="AD13" s="70"/>
      <c r="AE13" s="70"/>
      <c r="AF13" s="70"/>
      <c r="AG13" s="70"/>
      <c r="AH13" s="70"/>
    </row>
    <row r="14" spans="1:34" x14ac:dyDescent="0.35">
      <c r="B14" s="70"/>
      <c r="C14" s="70"/>
      <c r="D14" s="70"/>
      <c r="E14" s="70"/>
      <c r="F14" s="70"/>
      <c r="G14" s="70"/>
      <c r="H14" s="70"/>
      <c r="I14" s="70"/>
      <c r="J14" s="70"/>
      <c r="K14" s="70"/>
      <c r="L14" s="70"/>
      <c r="M14" s="70"/>
      <c r="N14" s="70"/>
      <c r="O14" s="70"/>
      <c r="P14" s="70"/>
      <c r="Q14" s="70"/>
      <c r="R14" s="368" t="s">
        <v>41</v>
      </c>
      <c r="S14" s="368"/>
      <c r="T14" s="368"/>
      <c r="U14" s="266">
        <f>U12-U13</f>
        <v>3495017.81</v>
      </c>
      <c r="V14" s="70"/>
      <c r="W14" s="70"/>
      <c r="X14" s="70"/>
      <c r="Y14" s="70"/>
      <c r="Z14" s="70"/>
      <c r="AA14" s="70"/>
      <c r="AB14" s="70"/>
      <c r="AC14" s="70"/>
      <c r="AD14" s="70"/>
      <c r="AE14" s="70"/>
      <c r="AF14" s="70"/>
      <c r="AG14" s="70"/>
      <c r="AH14" s="70"/>
    </row>
    <row r="15" spans="1:34" x14ac:dyDescent="0.35">
      <c r="B15" s="70"/>
      <c r="C15" s="70"/>
      <c r="D15" s="70"/>
      <c r="E15" s="70"/>
      <c r="F15" s="70"/>
      <c r="G15" s="70"/>
      <c r="H15" s="70"/>
      <c r="I15" s="70"/>
      <c r="J15" s="70"/>
      <c r="K15" s="70"/>
      <c r="L15" s="70"/>
      <c r="M15" s="70"/>
      <c r="N15" s="70"/>
      <c r="O15" s="70"/>
      <c r="P15" s="70"/>
      <c r="Q15" s="70"/>
      <c r="R15" s="70"/>
      <c r="S15" s="70"/>
      <c r="T15" s="70"/>
      <c r="V15" s="70"/>
      <c r="W15" s="70"/>
      <c r="X15" s="70"/>
      <c r="Y15" s="70"/>
      <c r="Z15" s="70"/>
      <c r="AA15" s="70"/>
      <c r="AB15" s="70"/>
      <c r="AC15" s="70"/>
      <c r="AD15" s="70"/>
      <c r="AE15" s="70"/>
      <c r="AF15" s="70"/>
      <c r="AG15" s="70"/>
      <c r="AH15" s="70"/>
    </row>
    <row r="16" spans="1:34" x14ac:dyDescent="0.35">
      <c r="B16" s="70"/>
      <c r="C16" s="70"/>
      <c r="D16" s="70"/>
      <c r="E16" s="70"/>
      <c r="F16" s="70"/>
      <c r="G16" s="70"/>
      <c r="H16" s="70"/>
      <c r="I16" s="70"/>
      <c r="J16" s="70"/>
      <c r="K16" s="70"/>
      <c r="L16" s="70"/>
      <c r="M16" s="70"/>
      <c r="N16" s="70"/>
      <c r="O16" s="70"/>
      <c r="P16" s="70"/>
      <c r="Q16" s="70"/>
      <c r="R16" s="70"/>
      <c r="S16" s="70"/>
      <c r="T16" s="70"/>
      <c r="U16" s="261"/>
      <c r="V16" s="70"/>
      <c r="W16" s="70"/>
      <c r="X16" s="70"/>
      <c r="Y16" s="70"/>
      <c r="Z16" s="70"/>
      <c r="AA16" s="70"/>
      <c r="AB16" s="70"/>
      <c r="AC16" s="70"/>
      <c r="AD16" s="70"/>
      <c r="AE16" s="70"/>
      <c r="AF16" s="70"/>
      <c r="AG16" s="70"/>
      <c r="AH16" s="70"/>
    </row>
    <row r="17" spans="2:34" x14ac:dyDescent="0.35">
      <c r="B17" s="70"/>
      <c r="C17" s="70"/>
      <c r="D17" s="70"/>
      <c r="E17" s="70"/>
      <c r="F17" s="70"/>
      <c r="G17" s="70"/>
      <c r="H17" s="70"/>
      <c r="I17" s="70"/>
      <c r="J17" s="70"/>
      <c r="K17" s="70"/>
      <c r="L17" s="70"/>
      <c r="M17" s="70"/>
      <c r="N17" s="70"/>
      <c r="O17" s="70"/>
      <c r="P17" s="70"/>
      <c r="Q17" s="70"/>
      <c r="R17" s="70"/>
      <c r="S17" s="70"/>
      <c r="T17" s="70"/>
      <c r="U17" s="261"/>
      <c r="V17" s="70"/>
      <c r="W17" s="70"/>
      <c r="X17" s="70"/>
      <c r="Y17" s="70"/>
      <c r="Z17" s="70"/>
      <c r="AA17" s="70"/>
      <c r="AB17" s="70"/>
      <c r="AC17" s="70"/>
      <c r="AD17" s="70"/>
      <c r="AE17" s="70"/>
      <c r="AF17" s="70"/>
      <c r="AG17" s="70"/>
      <c r="AH17" s="70"/>
    </row>
    <row r="18" spans="2:34" x14ac:dyDescent="0.35">
      <c r="B18" s="70"/>
      <c r="C18" s="70"/>
      <c r="D18" s="70"/>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row>
    <row r="19" spans="2:34" x14ac:dyDescent="0.35">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row>
    <row r="20" spans="2:34" x14ac:dyDescent="0.35">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row>
    <row r="21" spans="2:34" x14ac:dyDescent="0.35">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row>
  </sheetData>
  <mergeCells count="28">
    <mergeCell ref="B9:C9"/>
    <mergeCell ref="K9:L9"/>
    <mergeCell ref="D10:F10"/>
    <mergeCell ref="G10:I10"/>
    <mergeCell ref="B10:C10"/>
    <mergeCell ref="K10:L10"/>
    <mergeCell ref="U2:U3"/>
    <mergeCell ref="B7:C7"/>
    <mergeCell ref="D7:F7"/>
    <mergeCell ref="G7:I7"/>
    <mergeCell ref="K7:L7"/>
    <mergeCell ref="M7:O7"/>
    <mergeCell ref="P7:S7"/>
    <mergeCell ref="M2:O2"/>
    <mergeCell ref="P2:S2"/>
    <mergeCell ref="B2:C2"/>
    <mergeCell ref="D2:F2"/>
    <mergeCell ref="G2:I2"/>
    <mergeCell ref="K2:L2"/>
    <mergeCell ref="R13:T13"/>
    <mergeCell ref="R14:T14"/>
    <mergeCell ref="D9:F9"/>
    <mergeCell ref="G9:I9"/>
    <mergeCell ref="M9:O9"/>
    <mergeCell ref="P9:S9"/>
    <mergeCell ref="S12:T12"/>
    <mergeCell ref="M10:O10"/>
    <mergeCell ref="P10:S10"/>
  </mergeCells>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9EB57C-7E3F-4482-A6DD-90E39237E3C3}">
  <dimension ref="A1:U18"/>
  <sheetViews>
    <sheetView zoomScale="90" zoomScaleNormal="90" workbookViewId="0">
      <selection activeCell="E14" sqref="E14"/>
    </sheetView>
  </sheetViews>
  <sheetFormatPr baseColWidth="10" defaultRowHeight="14.5" x14ac:dyDescent="0.35"/>
  <cols>
    <col min="1" max="1" width="17.81640625" bestFit="1" customWidth="1"/>
    <col min="2" max="20" width="8.08984375" customWidth="1"/>
    <col min="21" max="21" width="11.7265625" bestFit="1" customWidth="1"/>
  </cols>
  <sheetData>
    <row r="1" spans="1:21" ht="15" thickBot="1" x14ac:dyDescent="0.4"/>
    <row r="2" spans="1:21" x14ac:dyDescent="0.35">
      <c r="A2" s="3"/>
      <c r="B2" s="395" t="s">
        <v>15</v>
      </c>
      <c r="C2" s="396"/>
      <c r="D2" s="397" t="s">
        <v>12</v>
      </c>
      <c r="E2" s="398"/>
      <c r="F2" s="399"/>
      <c r="G2" s="400" t="s">
        <v>17</v>
      </c>
      <c r="H2" s="401"/>
      <c r="I2" s="402"/>
      <c r="J2" s="81" t="s">
        <v>14</v>
      </c>
      <c r="K2" s="403" t="s">
        <v>16</v>
      </c>
      <c r="L2" s="404"/>
      <c r="M2" s="389" t="s">
        <v>13</v>
      </c>
      <c r="N2" s="390"/>
      <c r="O2" s="391"/>
      <c r="P2" s="392" t="s">
        <v>11</v>
      </c>
      <c r="Q2" s="393"/>
      <c r="R2" s="393"/>
      <c r="S2" s="394"/>
      <c r="T2" s="85" t="s">
        <v>44</v>
      </c>
      <c r="U2" s="384" t="s">
        <v>9</v>
      </c>
    </row>
    <row r="3" spans="1:21" ht="15" thickBot="1" x14ac:dyDescent="0.4">
      <c r="A3" s="268" t="s">
        <v>42</v>
      </c>
      <c r="B3" s="73" t="s">
        <v>2</v>
      </c>
      <c r="C3" s="72" t="s">
        <v>4</v>
      </c>
      <c r="D3" s="17" t="s">
        <v>0</v>
      </c>
      <c r="E3" s="75" t="s">
        <v>3</v>
      </c>
      <c r="F3" s="78" t="s">
        <v>8</v>
      </c>
      <c r="G3" s="77" t="s">
        <v>4</v>
      </c>
      <c r="H3" s="76" t="s">
        <v>6</v>
      </c>
      <c r="I3" s="79" t="s">
        <v>7</v>
      </c>
      <c r="J3" s="84" t="s">
        <v>1</v>
      </c>
      <c r="K3" s="80" t="s">
        <v>8</v>
      </c>
      <c r="L3" s="82" t="s">
        <v>4</v>
      </c>
      <c r="M3" s="83" t="s">
        <v>0</v>
      </c>
      <c r="N3" s="76" t="s">
        <v>1</v>
      </c>
      <c r="O3" s="79" t="s">
        <v>2</v>
      </c>
      <c r="P3" s="73" t="s">
        <v>2</v>
      </c>
      <c r="Q3" s="74" t="s">
        <v>3</v>
      </c>
      <c r="R3" s="74" t="s">
        <v>4</v>
      </c>
      <c r="S3" s="87" t="s">
        <v>5</v>
      </c>
      <c r="T3" s="86" t="s">
        <v>7</v>
      </c>
      <c r="U3" s="408"/>
    </row>
    <row r="4" spans="1:21" x14ac:dyDescent="0.35">
      <c r="A4" s="9" t="s">
        <v>22</v>
      </c>
      <c r="B4" s="136"/>
      <c r="C4" s="119"/>
      <c r="D4" s="88">
        <f>'Expenses per WP'!B4</f>
        <v>0</v>
      </c>
      <c r="E4" s="90">
        <f>'Expenses per WP'!I4</f>
        <v>0</v>
      </c>
      <c r="F4" s="139"/>
      <c r="G4" s="140"/>
      <c r="H4" s="138"/>
      <c r="I4" s="89">
        <f>'Expenses per WP'!S4</f>
        <v>100000</v>
      </c>
      <c r="J4" s="92">
        <f>'Expenses per WP'!D4</f>
        <v>9197.7999999999993</v>
      </c>
      <c r="K4" s="91">
        <f>'Expenses per WP'!L4</f>
        <v>0</v>
      </c>
      <c r="L4" s="89">
        <f>'Expenses per WP'!N4</f>
        <v>0</v>
      </c>
      <c r="M4" s="88">
        <f>'Expenses per WP'!C4</f>
        <v>255300</v>
      </c>
      <c r="N4" s="90">
        <f>'Expenses per WP'!E4</f>
        <v>169050</v>
      </c>
      <c r="O4" s="89">
        <f>'Expenses per WP'!G4</f>
        <v>0</v>
      </c>
      <c r="P4" s="88">
        <f>'Expenses per WP'!H4</f>
        <v>0</v>
      </c>
      <c r="Q4" s="90">
        <f>'Expenses per WP'!J4</f>
        <v>0</v>
      </c>
      <c r="R4" s="138"/>
      <c r="S4" s="139"/>
      <c r="T4" s="143"/>
      <c r="U4" s="93">
        <f>SUM(B4:T4)</f>
        <v>533547.80000000005</v>
      </c>
    </row>
    <row r="5" spans="1:21" ht="15" thickBot="1" x14ac:dyDescent="0.4">
      <c r="A5" s="12" t="s">
        <v>23</v>
      </c>
      <c r="B5" s="50">
        <f>'Expenses per WP'!F5</f>
        <v>0</v>
      </c>
      <c r="C5" s="120">
        <f>'Expenses per WP'!O5</f>
        <v>0</v>
      </c>
      <c r="D5" s="94">
        <f>'Expenses per WP'!B5</f>
        <v>0</v>
      </c>
      <c r="E5" s="96">
        <f>'Expenses per WP'!I5</f>
        <v>0</v>
      </c>
      <c r="F5" s="97">
        <f>'Expenses per WP'!K5</f>
        <v>0</v>
      </c>
      <c r="G5" s="98">
        <f>'Expenses per WP'!M5</f>
        <v>736000</v>
      </c>
      <c r="H5" s="96">
        <f>'Expenses per WP'!R5</f>
        <v>0</v>
      </c>
      <c r="I5" s="95">
        <f>'Expenses per WP'!S5</f>
        <v>0</v>
      </c>
      <c r="J5" s="99"/>
      <c r="K5" s="98">
        <f>'Expenses per WP'!L5</f>
        <v>0</v>
      </c>
      <c r="L5" s="95">
        <f>'Expenses per WP'!N5</f>
        <v>0</v>
      </c>
      <c r="M5" s="94">
        <f>'Expenses per WP'!C5</f>
        <v>0</v>
      </c>
      <c r="N5" s="96"/>
      <c r="O5" s="95"/>
      <c r="P5" s="94">
        <f>'Expenses per WP'!H5</f>
        <v>0</v>
      </c>
      <c r="Q5" s="96">
        <f>'Expenses per WP'!J5</f>
        <v>0</v>
      </c>
      <c r="R5" s="96">
        <f>'Expenses per WP'!P5</f>
        <v>0</v>
      </c>
      <c r="S5" s="97">
        <f>'Expenses per WP'!Q5</f>
        <v>16000</v>
      </c>
      <c r="T5" s="100">
        <f>'Expenses per WP'!T5</f>
        <v>4500</v>
      </c>
      <c r="U5" s="101">
        <f t="shared" ref="U5:U8" si="0">SUM(B5:T5)</f>
        <v>756500</v>
      </c>
    </row>
    <row r="6" spans="1:21" x14ac:dyDescent="0.35">
      <c r="A6" s="14" t="s">
        <v>29</v>
      </c>
      <c r="B6" s="102">
        <f>B4+B5</f>
        <v>0</v>
      </c>
      <c r="C6" s="103">
        <f t="shared" ref="C6:T6" si="1">C4+C5</f>
        <v>0</v>
      </c>
      <c r="D6" s="102">
        <f t="shared" si="1"/>
        <v>0</v>
      </c>
      <c r="E6" s="104">
        <f t="shared" si="1"/>
        <v>0</v>
      </c>
      <c r="F6" s="105">
        <f t="shared" si="1"/>
        <v>0</v>
      </c>
      <c r="G6" s="106">
        <f t="shared" si="1"/>
        <v>736000</v>
      </c>
      <c r="H6" s="104">
        <f t="shared" si="1"/>
        <v>0</v>
      </c>
      <c r="I6" s="103">
        <f t="shared" si="1"/>
        <v>100000</v>
      </c>
      <c r="J6" s="107">
        <f t="shared" si="1"/>
        <v>9197.7999999999993</v>
      </c>
      <c r="K6" s="106">
        <f t="shared" si="1"/>
        <v>0</v>
      </c>
      <c r="L6" s="103">
        <f t="shared" si="1"/>
        <v>0</v>
      </c>
      <c r="M6" s="102">
        <f t="shared" si="1"/>
        <v>255300</v>
      </c>
      <c r="N6" s="104">
        <f t="shared" si="1"/>
        <v>169050</v>
      </c>
      <c r="O6" s="103">
        <f t="shared" si="1"/>
        <v>0</v>
      </c>
      <c r="P6" s="102">
        <f t="shared" si="1"/>
        <v>0</v>
      </c>
      <c r="Q6" s="104">
        <f t="shared" si="1"/>
        <v>0</v>
      </c>
      <c r="R6" s="104">
        <f t="shared" si="1"/>
        <v>0</v>
      </c>
      <c r="S6" s="105">
        <f t="shared" si="1"/>
        <v>16000</v>
      </c>
      <c r="T6" s="108">
        <f t="shared" si="1"/>
        <v>4500</v>
      </c>
      <c r="U6" s="109">
        <f t="shared" si="0"/>
        <v>1290047.8</v>
      </c>
    </row>
    <row r="7" spans="1:21" ht="15" thickBot="1" x14ac:dyDescent="0.4">
      <c r="A7" s="15" t="s">
        <v>27</v>
      </c>
      <c r="B7" s="386">
        <f>B6+C6</f>
        <v>0</v>
      </c>
      <c r="C7" s="387"/>
      <c r="D7" s="386">
        <f>D6+E6+F6</f>
        <v>0</v>
      </c>
      <c r="E7" s="388"/>
      <c r="F7" s="387"/>
      <c r="G7" s="386">
        <f>G6+H6+I6</f>
        <v>836000</v>
      </c>
      <c r="H7" s="388"/>
      <c r="I7" s="387"/>
      <c r="J7" s="110">
        <f>J6</f>
        <v>9197.7999999999993</v>
      </c>
      <c r="K7" s="386">
        <f>K6+L6</f>
        <v>0</v>
      </c>
      <c r="L7" s="387"/>
      <c r="M7" s="386">
        <f>M6+N6+O6</f>
        <v>424350</v>
      </c>
      <c r="N7" s="388"/>
      <c r="O7" s="387"/>
      <c r="P7" s="386">
        <f>P6+Q6+R6+S6</f>
        <v>16000</v>
      </c>
      <c r="Q7" s="388"/>
      <c r="R7" s="388"/>
      <c r="S7" s="387"/>
      <c r="T7" s="111">
        <f>T6</f>
        <v>4500</v>
      </c>
      <c r="U7" s="112">
        <f t="shared" si="0"/>
        <v>1290047.8</v>
      </c>
    </row>
    <row r="8" spans="1:21" ht="15" thickBot="1" x14ac:dyDescent="0.4">
      <c r="A8" s="148" t="s">
        <v>21</v>
      </c>
      <c r="B8" s="405">
        <v>436250</v>
      </c>
      <c r="C8" s="407"/>
      <c r="D8" s="405">
        <v>821086.25</v>
      </c>
      <c r="E8" s="406"/>
      <c r="F8" s="407"/>
      <c r="G8" s="405">
        <v>1112500</v>
      </c>
      <c r="H8" s="406"/>
      <c r="I8" s="407"/>
      <c r="J8" s="149">
        <v>287625</v>
      </c>
      <c r="K8" s="405">
        <v>346250</v>
      </c>
      <c r="L8" s="407"/>
      <c r="M8" s="410">
        <v>1050562.5</v>
      </c>
      <c r="N8" s="411"/>
      <c r="O8" s="412"/>
      <c r="P8" s="405">
        <v>585750</v>
      </c>
      <c r="Q8" s="406"/>
      <c r="R8" s="406"/>
      <c r="S8" s="407"/>
      <c r="T8" s="150">
        <v>20000</v>
      </c>
      <c r="U8" s="263">
        <f t="shared" si="0"/>
        <v>4660023.75</v>
      </c>
    </row>
    <row r="10" spans="1:21" x14ac:dyDescent="0.35">
      <c r="A10" s="301" t="s">
        <v>47</v>
      </c>
      <c r="B10" s="299"/>
      <c r="C10" s="299"/>
      <c r="D10" s="299"/>
      <c r="E10" s="299"/>
      <c r="F10" s="299"/>
      <c r="G10" s="299"/>
      <c r="H10" s="299"/>
      <c r="I10" s="299"/>
      <c r="J10" s="299"/>
      <c r="K10" s="299"/>
      <c r="L10" s="299"/>
      <c r="M10" s="299"/>
      <c r="N10" s="299"/>
      <c r="O10" s="299"/>
      <c r="P10" s="299"/>
      <c r="Q10" s="299"/>
      <c r="R10" s="299"/>
      <c r="S10" s="299"/>
      <c r="T10" s="299"/>
    </row>
    <row r="11" spans="1:21" x14ac:dyDescent="0.35">
      <c r="A11" s="311"/>
      <c r="B11" s="307"/>
      <c r="C11" s="307"/>
      <c r="D11" s="175"/>
      <c r="E11" s="175"/>
      <c r="F11" s="175"/>
      <c r="G11" s="175"/>
      <c r="H11" s="175"/>
      <c r="I11" s="175"/>
      <c r="J11" s="175"/>
      <c r="K11" s="175"/>
      <c r="L11" s="175"/>
      <c r="M11" s="175"/>
      <c r="N11" s="175"/>
      <c r="O11" s="175"/>
      <c r="P11" s="175"/>
      <c r="Q11" s="175"/>
      <c r="R11" s="175"/>
      <c r="S11" s="175"/>
      <c r="T11" s="175"/>
    </row>
    <row r="12" spans="1:21" x14ac:dyDescent="0.35">
      <c r="A12" s="312"/>
      <c r="B12" s="309"/>
      <c r="C12" s="309"/>
      <c r="D12" s="175"/>
      <c r="E12" s="175"/>
      <c r="F12" s="175"/>
      <c r="G12" s="175"/>
      <c r="H12" s="175"/>
      <c r="I12" s="175"/>
      <c r="J12" s="175"/>
      <c r="K12" s="175"/>
      <c r="L12" s="175"/>
      <c r="M12" s="175"/>
      <c r="N12" s="175"/>
      <c r="O12" s="175"/>
      <c r="P12" s="175"/>
      <c r="Q12" s="175"/>
      <c r="R12" s="175"/>
      <c r="S12" s="175"/>
      <c r="T12" s="175"/>
    </row>
    <row r="13" spans="1:21" x14ac:dyDescent="0.35">
      <c r="A13" s="299"/>
      <c r="B13" s="299"/>
      <c r="C13" s="299"/>
      <c r="D13" s="299"/>
      <c r="E13" s="299"/>
      <c r="F13" s="299"/>
      <c r="G13" s="299"/>
      <c r="H13" s="299"/>
      <c r="I13" s="299"/>
      <c r="J13" s="299"/>
      <c r="K13" s="299"/>
      <c r="L13" s="299"/>
      <c r="M13" s="299"/>
      <c r="N13" s="299"/>
      <c r="O13" s="299"/>
      <c r="P13" s="299"/>
      <c r="Q13" s="299"/>
      <c r="R13" s="299"/>
      <c r="S13" s="299"/>
      <c r="T13" s="299"/>
    </row>
    <row r="14" spans="1:21" x14ac:dyDescent="0.35">
      <c r="A14" s="299"/>
      <c r="B14" s="313"/>
      <c r="C14" s="313"/>
      <c r="D14" s="313"/>
      <c r="E14" s="313"/>
      <c r="F14" s="313"/>
      <c r="G14" s="313"/>
      <c r="H14" s="313"/>
      <c r="I14" s="313"/>
      <c r="J14" s="313"/>
      <c r="K14" s="313"/>
      <c r="L14" s="313"/>
      <c r="M14" s="314"/>
      <c r="N14" s="314"/>
      <c r="O14" s="314"/>
      <c r="P14" s="314"/>
      <c r="Q14" s="300"/>
      <c r="R14" s="300"/>
      <c r="S14" s="409"/>
      <c r="T14" s="409"/>
      <c r="U14" s="299"/>
    </row>
    <row r="15" spans="1:21" x14ac:dyDescent="0.35">
      <c r="A15" s="301"/>
      <c r="B15" s="302"/>
      <c r="C15" s="303"/>
      <c r="D15" s="300"/>
      <c r="E15" s="300"/>
      <c r="F15" s="302"/>
      <c r="G15" s="300"/>
      <c r="H15" s="303"/>
      <c r="I15" s="302"/>
      <c r="J15" s="300"/>
      <c r="K15" s="300"/>
      <c r="L15" s="300"/>
      <c r="M15" s="304"/>
      <c r="N15" s="305"/>
      <c r="O15" s="305"/>
      <c r="P15" s="305"/>
      <c r="Q15" s="300"/>
      <c r="R15" s="300"/>
      <c r="S15" s="306"/>
      <c r="T15" s="306"/>
      <c r="U15" s="299"/>
    </row>
    <row r="16" spans="1:21" x14ac:dyDescent="0.35">
      <c r="A16" s="299"/>
      <c r="B16" s="307"/>
      <c r="C16" s="307"/>
      <c r="D16" s="307"/>
      <c r="E16" s="307"/>
      <c r="F16" s="307"/>
      <c r="G16" s="307"/>
      <c r="H16" s="307"/>
      <c r="I16" s="307"/>
      <c r="J16" s="307"/>
      <c r="K16" s="308"/>
      <c r="L16" s="307"/>
      <c r="M16" s="307"/>
      <c r="N16" s="307"/>
      <c r="O16" s="308"/>
      <c r="P16" s="308"/>
      <c r="Q16" s="308"/>
      <c r="R16" s="307"/>
      <c r="S16" s="307"/>
      <c r="T16" s="308"/>
      <c r="U16" s="299"/>
    </row>
    <row r="17" spans="1:21" x14ac:dyDescent="0.35">
      <c r="A17" s="299"/>
      <c r="B17" s="309"/>
      <c r="C17" s="309"/>
      <c r="D17" s="310"/>
      <c r="E17" s="310"/>
      <c r="F17" s="309"/>
      <c r="G17" s="310"/>
      <c r="H17" s="309"/>
      <c r="I17" s="309"/>
      <c r="J17" s="309"/>
      <c r="K17" s="309"/>
      <c r="L17" s="309"/>
      <c r="M17" s="309"/>
      <c r="N17" s="309"/>
      <c r="O17" s="309"/>
      <c r="P17" s="309"/>
      <c r="Q17" s="309"/>
      <c r="R17" s="309"/>
      <c r="S17" s="309"/>
      <c r="T17" s="309"/>
      <c r="U17" s="299"/>
    </row>
    <row r="18" spans="1:21" x14ac:dyDescent="0.35">
      <c r="A18" s="299"/>
      <c r="B18" s="299"/>
      <c r="C18" s="299"/>
      <c r="D18" s="299"/>
      <c r="E18" s="299"/>
      <c r="F18" s="299"/>
      <c r="G18" s="299"/>
      <c r="H18" s="299"/>
      <c r="I18" s="299"/>
      <c r="J18" s="299"/>
      <c r="K18" s="299"/>
      <c r="L18" s="299"/>
      <c r="M18" s="299"/>
      <c r="N18" s="299"/>
      <c r="O18" s="299"/>
      <c r="P18" s="299"/>
      <c r="Q18" s="299"/>
      <c r="R18" s="299"/>
      <c r="S18" s="299"/>
      <c r="T18" s="299"/>
      <c r="U18" s="299"/>
    </row>
  </sheetData>
  <mergeCells count="20">
    <mergeCell ref="K8:L8"/>
    <mergeCell ref="M8:O8"/>
    <mergeCell ref="K2:L2"/>
    <mergeCell ref="M2:O2"/>
    <mergeCell ref="B7:C7"/>
    <mergeCell ref="D7:F7"/>
    <mergeCell ref="G7:I7"/>
    <mergeCell ref="K7:L7"/>
    <mergeCell ref="M7:O7"/>
    <mergeCell ref="B8:C8"/>
    <mergeCell ref="D8:F8"/>
    <mergeCell ref="B2:C2"/>
    <mergeCell ref="D2:F2"/>
    <mergeCell ref="G2:I2"/>
    <mergeCell ref="G8:I8"/>
    <mergeCell ref="P8:S8"/>
    <mergeCell ref="U2:U3"/>
    <mergeCell ref="P7:S7"/>
    <mergeCell ref="P2:S2"/>
    <mergeCell ref="S14:T14"/>
  </mergeCells>
  <pageMargins left="0.7" right="0.7" top="0.75" bottom="0.75" header="0.3" footer="0.3"/>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3AC321-20CD-402F-87A7-37A6D3D5B4F0}">
  <dimension ref="A1:U19"/>
  <sheetViews>
    <sheetView zoomScale="90" zoomScaleNormal="90" workbookViewId="0">
      <pane xSplit="1" topLeftCell="B1" activePane="topRight" state="frozen"/>
      <selection pane="topRight" activeCell="H22" sqref="H22"/>
    </sheetView>
  </sheetViews>
  <sheetFormatPr baseColWidth="10" defaultRowHeight="14.5" x14ac:dyDescent="0.35"/>
  <cols>
    <col min="1" max="1" width="17.81640625" bestFit="1" customWidth="1"/>
    <col min="2" max="20" width="8.08984375" customWidth="1"/>
    <col min="21" max="21" width="11.7265625" bestFit="1" customWidth="1"/>
  </cols>
  <sheetData>
    <row r="1" spans="1:21" ht="15" thickBot="1" x14ac:dyDescent="0.4"/>
    <row r="2" spans="1:21" x14ac:dyDescent="0.35">
      <c r="A2" s="3"/>
      <c r="B2" s="395" t="s">
        <v>15</v>
      </c>
      <c r="C2" s="396"/>
      <c r="D2" s="397" t="s">
        <v>12</v>
      </c>
      <c r="E2" s="398"/>
      <c r="F2" s="399"/>
      <c r="G2" s="400" t="s">
        <v>17</v>
      </c>
      <c r="H2" s="401"/>
      <c r="I2" s="402"/>
      <c r="J2" s="81" t="s">
        <v>14</v>
      </c>
      <c r="K2" s="403" t="s">
        <v>16</v>
      </c>
      <c r="L2" s="404"/>
      <c r="M2" s="389" t="s">
        <v>13</v>
      </c>
      <c r="N2" s="390"/>
      <c r="O2" s="391"/>
      <c r="P2" s="392" t="s">
        <v>11</v>
      </c>
      <c r="Q2" s="393"/>
      <c r="R2" s="393"/>
      <c r="S2" s="394"/>
      <c r="T2" s="85" t="s">
        <v>44</v>
      </c>
      <c r="U2" s="384" t="s">
        <v>9</v>
      </c>
    </row>
    <row r="3" spans="1:21" ht="15" thickBot="1" x14ac:dyDescent="0.4">
      <c r="A3" s="268" t="s">
        <v>45</v>
      </c>
      <c r="B3" s="73" t="s">
        <v>2</v>
      </c>
      <c r="C3" s="72" t="s">
        <v>4</v>
      </c>
      <c r="D3" s="17" t="s">
        <v>0</v>
      </c>
      <c r="E3" s="75" t="s">
        <v>3</v>
      </c>
      <c r="F3" s="78" t="s">
        <v>8</v>
      </c>
      <c r="G3" s="77" t="s">
        <v>4</v>
      </c>
      <c r="H3" s="76" t="s">
        <v>6</v>
      </c>
      <c r="I3" s="79" t="s">
        <v>7</v>
      </c>
      <c r="J3" s="84" t="s">
        <v>1</v>
      </c>
      <c r="K3" s="80" t="s">
        <v>8</v>
      </c>
      <c r="L3" s="82" t="s">
        <v>4</v>
      </c>
      <c r="M3" s="83" t="s">
        <v>0</v>
      </c>
      <c r="N3" s="76" t="s">
        <v>1</v>
      </c>
      <c r="O3" s="79" t="s">
        <v>2</v>
      </c>
      <c r="P3" s="73" t="s">
        <v>2</v>
      </c>
      <c r="Q3" s="74" t="s">
        <v>3</v>
      </c>
      <c r="R3" s="74" t="s">
        <v>4</v>
      </c>
      <c r="S3" s="87" t="s">
        <v>5</v>
      </c>
      <c r="T3" s="86" t="s">
        <v>7</v>
      </c>
      <c r="U3" s="408"/>
    </row>
    <row r="4" spans="1:21" x14ac:dyDescent="0.35">
      <c r="A4" s="9" t="s">
        <v>22</v>
      </c>
      <c r="B4" s="180"/>
      <c r="C4" s="269"/>
      <c r="D4" s="88">
        <f>'Expected per inst'!D4-'Expenses per inst'!D4</f>
        <v>216369</v>
      </c>
      <c r="E4" s="90">
        <f>'Expected per inst'!E4-'Expenses per inst'!E4</f>
        <v>53000</v>
      </c>
      <c r="F4" s="179"/>
      <c r="G4" s="272"/>
      <c r="H4" s="271"/>
      <c r="I4" s="89">
        <f>'Expected per inst'!I4-'Expenses per inst'!I4</f>
        <v>0</v>
      </c>
      <c r="J4" s="92">
        <f>'Expected per inst'!J4-'Expenses per inst'!J4</f>
        <v>220902.2</v>
      </c>
      <c r="K4" s="91">
        <f>'Expected per inst'!K4-'Expenses per inst'!K4</f>
        <v>75000</v>
      </c>
      <c r="L4" s="89">
        <f>'Expected per inst'!L4-'Expenses per inst'!L4</f>
        <v>75000</v>
      </c>
      <c r="M4" s="88">
        <f>'Expected per inst'!M4-'Expenses per inst'!M4</f>
        <v>0</v>
      </c>
      <c r="N4" s="90">
        <f>'Expected per inst'!N4-'Expenses per inst'!N4</f>
        <v>0</v>
      </c>
      <c r="O4" s="89">
        <f>'Expected per inst'!O4-'Expenses per inst'!O4</f>
        <v>200100</v>
      </c>
      <c r="P4" s="88">
        <f>'Expected per inst'!P4-'Expenses per inst'!P4</f>
        <v>130000</v>
      </c>
      <c r="Q4" s="90">
        <f>'Expected per inst'!Q4-'Expenses per inst'!Q4</f>
        <v>120000</v>
      </c>
      <c r="R4" s="271"/>
      <c r="S4" s="275"/>
      <c r="T4" s="276"/>
      <c r="U4" s="93">
        <f>SUM(B4:T4)</f>
        <v>1090371.2</v>
      </c>
    </row>
    <row r="5" spans="1:21" ht="15" thickBot="1" x14ac:dyDescent="0.4">
      <c r="A5" s="12" t="s">
        <v>23</v>
      </c>
      <c r="B5" s="50">
        <f>'Expected per inst'!B5-'Expenses per inst'!B5</f>
        <v>99000</v>
      </c>
      <c r="C5" s="120">
        <f>'Expected per inst'!C5-'Expenses per inst'!C5</f>
        <v>252000</v>
      </c>
      <c r="D5" s="94">
        <f>'Expected per inst'!D5-'Expenses per inst'!D5</f>
        <v>113750</v>
      </c>
      <c r="E5" s="96">
        <f>'Expected per inst'!E5-'Expenses per inst'!E5</f>
        <v>281750</v>
      </c>
      <c r="F5" s="97">
        <f>'Expected per inst'!F5-'Expenses per inst'!F5</f>
        <v>2000</v>
      </c>
      <c r="G5" s="98">
        <f>'Expected per inst'!G5-'Expenses per inst'!G5</f>
        <v>2000</v>
      </c>
      <c r="H5" s="96">
        <f>'Expected per inst'!H5-'Expenses per inst'!H5</f>
        <v>35000</v>
      </c>
      <c r="I5" s="95">
        <f>'Expected per inst'!I5-'Expenses per inst'!I5</f>
        <v>17000</v>
      </c>
      <c r="J5" s="99"/>
      <c r="K5" s="98">
        <f>'Expected per inst'!K5-'Expenses per inst'!K5</f>
        <v>5000</v>
      </c>
      <c r="L5" s="95">
        <f>'Expected per inst'!L5-'Expenses per inst'!L5</f>
        <v>122000</v>
      </c>
      <c r="M5" s="94">
        <f>'Expected per inst'!M5-'Expenses per inst'!M5</f>
        <v>216000</v>
      </c>
      <c r="N5" s="280"/>
      <c r="O5" s="283"/>
      <c r="P5" s="94">
        <f>'Expected per inst'!P5-'Expenses per inst'!P5</f>
        <v>70000</v>
      </c>
      <c r="Q5" s="96">
        <f>'Expected per inst'!Q5-'Expenses per inst'!Q5</f>
        <v>3000</v>
      </c>
      <c r="R5" s="96">
        <f>'Expected per inst'!R5-'Expenses per inst'!R5</f>
        <v>106000</v>
      </c>
      <c r="S5" s="97">
        <f>'Expected per inst'!S5-'Expenses per inst'!S5</f>
        <v>24000</v>
      </c>
      <c r="T5" s="100">
        <f>'Expected per inst'!T5-'Expenses per inst'!T5</f>
        <v>11500</v>
      </c>
      <c r="U5" s="101">
        <f t="shared" ref="U5:U8" si="0">SUM(B5:T5)</f>
        <v>1360000</v>
      </c>
    </row>
    <row r="6" spans="1:21" x14ac:dyDescent="0.35">
      <c r="A6" s="14" t="s">
        <v>29</v>
      </c>
      <c r="B6" s="102">
        <f>B4+B5</f>
        <v>99000</v>
      </c>
      <c r="C6" s="103">
        <f t="shared" ref="C6:T6" si="1">C4+C5</f>
        <v>252000</v>
      </c>
      <c r="D6" s="102">
        <f t="shared" si="1"/>
        <v>330119</v>
      </c>
      <c r="E6" s="104">
        <f t="shared" si="1"/>
        <v>334750</v>
      </c>
      <c r="F6" s="105">
        <f t="shared" si="1"/>
        <v>2000</v>
      </c>
      <c r="G6" s="106">
        <f t="shared" si="1"/>
        <v>2000</v>
      </c>
      <c r="H6" s="104">
        <f t="shared" si="1"/>
        <v>35000</v>
      </c>
      <c r="I6" s="103">
        <f t="shared" si="1"/>
        <v>17000</v>
      </c>
      <c r="J6" s="107">
        <f t="shared" si="1"/>
        <v>220902.2</v>
      </c>
      <c r="K6" s="106">
        <f t="shared" si="1"/>
        <v>80000</v>
      </c>
      <c r="L6" s="103">
        <f t="shared" si="1"/>
        <v>197000</v>
      </c>
      <c r="M6" s="102">
        <f t="shared" si="1"/>
        <v>216000</v>
      </c>
      <c r="N6" s="104">
        <f t="shared" si="1"/>
        <v>0</v>
      </c>
      <c r="O6" s="103">
        <f t="shared" si="1"/>
        <v>200100</v>
      </c>
      <c r="P6" s="102">
        <f t="shared" si="1"/>
        <v>200000</v>
      </c>
      <c r="Q6" s="104">
        <f t="shared" si="1"/>
        <v>123000</v>
      </c>
      <c r="R6" s="104">
        <f t="shared" si="1"/>
        <v>106000</v>
      </c>
      <c r="S6" s="105">
        <f t="shared" si="1"/>
        <v>24000</v>
      </c>
      <c r="T6" s="108">
        <f t="shared" si="1"/>
        <v>11500</v>
      </c>
      <c r="U6" s="109">
        <f t="shared" si="0"/>
        <v>2450371.2000000002</v>
      </c>
    </row>
    <row r="7" spans="1:21" ht="15" thickBot="1" x14ac:dyDescent="0.4">
      <c r="A7" s="15" t="s">
        <v>27</v>
      </c>
      <c r="B7" s="386">
        <f>B6+C6</f>
        <v>351000</v>
      </c>
      <c r="C7" s="387"/>
      <c r="D7" s="386">
        <f>D6+E6+F6</f>
        <v>666869</v>
      </c>
      <c r="E7" s="388"/>
      <c r="F7" s="387"/>
      <c r="G7" s="386">
        <f>G6+H6+I6</f>
        <v>54000</v>
      </c>
      <c r="H7" s="388"/>
      <c r="I7" s="387"/>
      <c r="J7" s="110">
        <f>J6</f>
        <v>220902.2</v>
      </c>
      <c r="K7" s="386">
        <f>K6+L6</f>
        <v>277000</v>
      </c>
      <c r="L7" s="387"/>
      <c r="M7" s="386">
        <f>M6+N6+O6</f>
        <v>416100</v>
      </c>
      <c r="N7" s="388"/>
      <c r="O7" s="387"/>
      <c r="P7" s="386">
        <f>P6+Q6+R6+S6</f>
        <v>453000</v>
      </c>
      <c r="Q7" s="388"/>
      <c r="R7" s="388"/>
      <c r="S7" s="387"/>
      <c r="T7" s="111">
        <f>T6</f>
        <v>11500</v>
      </c>
      <c r="U7" s="112">
        <f t="shared" si="0"/>
        <v>2450371.2000000002</v>
      </c>
    </row>
    <row r="8" spans="1:21" x14ac:dyDescent="0.35">
      <c r="A8" s="13" t="s">
        <v>21</v>
      </c>
      <c r="B8" s="416">
        <v>436250</v>
      </c>
      <c r="C8" s="417"/>
      <c r="D8" s="416">
        <v>821086.25</v>
      </c>
      <c r="E8" s="418"/>
      <c r="F8" s="417"/>
      <c r="G8" s="416">
        <v>1112500</v>
      </c>
      <c r="H8" s="418"/>
      <c r="I8" s="417"/>
      <c r="J8" s="113">
        <v>287625</v>
      </c>
      <c r="K8" s="416">
        <v>346250</v>
      </c>
      <c r="L8" s="417"/>
      <c r="M8" s="416">
        <v>1050562</v>
      </c>
      <c r="N8" s="418"/>
      <c r="O8" s="417"/>
      <c r="P8" s="416">
        <v>585750</v>
      </c>
      <c r="Q8" s="418"/>
      <c r="R8" s="418"/>
      <c r="S8" s="417"/>
      <c r="T8" s="114">
        <v>20000</v>
      </c>
      <c r="U8" s="264">
        <f t="shared" si="0"/>
        <v>4660023.25</v>
      </c>
    </row>
    <row r="9" spans="1:21" ht="15" thickBot="1" x14ac:dyDescent="0.4">
      <c r="A9" s="10" t="s">
        <v>18</v>
      </c>
      <c r="B9" s="413" t="s">
        <v>10</v>
      </c>
      <c r="C9" s="415"/>
      <c r="D9" s="413" t="s">
        <v>10</v>
      </c>
      <c r="E9" s="414"/>
      <c r="F9" s="415"/>
      <c r="G9" s="413" t="s">
        <v>10</v>
      </c>
      <c r="H9" s="414"/>
      <c r="I9" s="415"/>
      <c r="J9" s="115" t="s">
        <v>10</v>
      </c>
      <c r="K9" s="413" t="s">
        <v>10</v>
      </c>
      <c r="L9" s="415"/>
      <c r="M9" s="413" t="s">
        <v>10</v>
      </c>
      <c r="N9" s="414"/>
      <c r="O9" s="415"/>
      <c r="P9" s="413" t="s">
        <v>10</v>
      </c>
      <c r="Q9" s="414"/>
      <c r="R9" s="414"/>
      <c r="S9" s="415"/>
      <c r="T9" s="116" t="s">
        <v>10</v>
      </c>
      <c r="U9" s="117" t="s">
        <v>10</v>
      </c>
    </row>
    <row r="11" spans="1:21" ht="15" thickBot="1" x14ac:dyDescent="0.4"/>
    <row r="12" spans="1:21" x14ac:dyDescent="0.35">
      <c r="A12" s="3"/>
      <c r="B12" s="395" t="s">
        <v>15</v>
      </c>
      <c r="C12" s="396"/>
      <c r="D12" s="397" t="s">
        <v>12</v>
      </c>
      <c r="E12" s="398"/>
      <c r="F12" s="399"/>
      <c r="G12" s="400" t="s">
        <v>17</v>
      </c>
      <c r="H12" s="401"/>
      <c r="I12" s="402"/>
      <c r="J12" s="81" t="s">
        <v>14</v>
      </c>
      <c r="K12" s="403" t="s">
        <v>16</v>
      </c>
      <c r="L12" s="404"/>
      <c r="M12" s="389" t="s">
        <v>13</v>
      </c>
      <c r="N12" s="390"/>
      <c r="O12" s="391"/>
      <c r="P12" s="392" t="s">
        <v>11</v>
      </c>
      <c r="Q12" s="393"/>
      <c r="R12" s="393"/>
      <c r="S12" s="394"/>
      <c r="T12" s="85" t="s">
        <v>44</v>
      </c>
      <c r="U12" s="384" t="s">
        <v>9</v>
      </c>
    </row>
    <row r="13" spans="1:21" ht="15" thickBot="1" x14ac:dyDescent="0.4">
      <c r="A13" s="268" t="s">
        <v>46</v>
      </c>
      <c r="B13" s="73" t="s">
        <v>2</v>
      </c>
      <c r="C13" s="72" t="s">
        <v>4</v>
      </c>
      <c r="D13" s="17" t="s">
        <v>0</v>
      </c>
      <c r="E13" s="75" t="s">
        <v>3</v>
      </c>
      <c r="F13" s="78" t="s">
        <v>8</v>
      </c>
      <c r="G13" s="77" t="s">
        <v>4</v>
      </c>
      <c r="H13" s="76" t="s">
        <v>6</v>
      </c>
      <c r="I13" s="79" t="s">
        <v>7</v>
      </c>
      <c r="J13" s="84" t="s">
        <v>1</v>
      </c>
      <c r="K13" s="80" t="s">
        <v>8</v>
      </c>
      <c r="L13" s="82" t="s">
        <v>4</v>
      </c>
      <c r="M13" s="83" t="s">
        <v>0</v>
      </c>
      <c r="N13" s="76" t="s">
        <v>1</v>
      </c>
      <c r="O13" s="79" t="s">
        <v>2</v>
      </c>
      <c r="P13" s="73" t="s">
        <v>2</v>
      </c>
      <c r="Q13" s="74" t="s">
        <v>3</v>
      </c>
      <c r="R13" s="74" t="s">
        <v>4</v>
      </c>
      <c r="S13" s="87" t="s">
        <v>5</v>
      </c>
      <c r="T13" s="86" t="s">
        <v>7</v>
      </c>
      <c r="U13" s="408"/>
    </row>
    <row r="14" spans="1:21" x14ac:dyDescent="0.35">
      <c r="A14" s="9" t="s">
        <v>22</v>
      </c>
      <c r="B14" s="180"/>
      <c r="C14" s="269"/>
      <c r="D14" s="270">
        <f>'Expenses per inst'!D4/'Expected per inst'!D4</f>
        <v>0</v>
      </c>
      <c r="E14" s="271">
        <f>'Expenses per inst'!E4/'Expected per inst'!E4</f>
        <v>0</v>
      </c>
      <c r="F14" s="179"/>
      <c r="G14" s="272"/>
      <c r="H14" s="271"/>
      <c r="I14" s="273">
        <f>'Expenses per inst'!I4/'Expected per inst'!I4</f>
        <v>1</v>
      </c>
      <c r="J14" s="274">
        <f>'Expenses per inst'!J4/'Expected per inst'!J4</f>
        <v>3.9973055193394176E-2</v>
      </c>
      <c r="K14" s="272">
        <f>'Expenses per inst'!K4/'Expected per inst'!K4</f>
        <v>0</v>
      </c>
      <c r="L14" s="273">
        <f>'Expenses per inst'!L4/'Expected per inst'!L4</f>
        <v>0</v>
      </c>
      <c r="M14" s="270">
        <f>'Expenses per inst'!M4/'Expected per inst'!M4</f>
        <v>1</v>
      </c>
      <c r="N14" s="271">
        <f>'Expenses per inst'!N4/'Expected per inst'!N4</f>
        <v>1</v>
      </c>
      <c r="O14" s="273">
        <f>'Expenses per inst'!O4/'Expected per inst'!O4</f>
        <v>0</v>
      </c>
      <c r="P14" s="270">
        <f>'Expenses per inst'!P4/'Expected per inst'!P4</f>
        <v>0</v>
      </c>
      <c r="Q14" s="271">
        <f>'Expenses per inst'!Q4/'Expected per inst'!Q4</f>
        <v>0</v>
      </c>
      <c r="R14" s="271"/>
      <c r="S14" s="275"/>
      <c r="T14" s="276"/>
      <c r="U14" s="277">
        <f>'Expenses per inst'!U4/'Expected per inst'!U4</f>
        <v>0.32855567303541622</v>
      </c>
    </row>
    <row r="15" spans="1:21" ht="15" thickBot="1" x14ac:dyDescent="0.4">
      <c r="A15" s="12" t="s">
        <v>23</v>
      </c>
      <c r="B15" s="187">
        <f>'Expenses per inst'!B5/'Expected per inst'!B5</f>
        <v>0</v>
      </c>
      <c r="C15" s="278">
        <f>'Expenses per inst'!C5/'Expected per inst'!C5</f>
        <v>0</v>
      </c>
      <c r="D15" s="279">
        <f>'Expenses per inst'!D5/'Expected per inst'!D5</f>
        <v>0</v>
      </c>
      <c r="E15" s="280">
        <f>'Expenses per inst'!E5/'Expected per inst'!E5</f>
        <v>0</v>
      </c>
      <c r="F15" s="281">
        <f>'Expenses per inst'!F5/'Expected per inst'!F5</f>
        <v>0</v>
      </c>
      <c r="G15" s="282">
        <f>'Expenses per inst'!G5/'Expected per inst'!G5</f>
        <v>0.99728997289972898</v>
      </c>
      <c r="H15" s="280">
        <f>'Expenses per inst'!H5/'Expected per inst'!H5</f>
        <v>0</v>
      </c>
      <c r="I15" s="283">
        <f>'Expenses per inst'!I5/'Expected per inst'!I5</f>
        <v>0</v>
      </c>
      <c r="J15" s="284"/>
      <c r="K15" s="282">
        <f>'Expenses per inst'!K5/'Expected per inst'!K5</f>
        <v>0</v>
      </c>
      <c r="L15" s="283">
        <f>'Expenses per inst'!L5/'Expected per inst'!L5</f>
        <v>0</v>
      </c>
      <c r="M15" s="279">
        <f>'Expenses per inst'!M5/'Expected per inst'!M5</f>
        <v>0</v>
      </c>
      <c r="N15" s="280"/>
      <c r="O15" s="283"/>
      <c r="P15" s="279">
        <f>'Expenses per inst'!P5/'Expected per inst'!P5</f>
        <v>0</v>
      </c>
      <c r="Q15" s="280">
        <f>'Expenses per inst'!Q5/'Expected per inst'!Q5</f>
        <v>0</v>
      </c>
      <c r="R15" s="280">
        <f>'Expenses per inst'!R5/'Expected per inst'!R5</f>
        <v>0</v>
      </c>
      <c r="S15" s="281">
        <f>'Expenses per inst'!S5/'Expected per inst'!S5</f>
        <v>0.4</v>
      </c>
      <c r="T15" s="285">
        <f>'Expenses per inst'!T5/'Expected per inst'!T5</f>
        <v>0.28125</v>
      </c>
      <c r="U15" s="286">
        <f>'Expenses per inst'!U5/'Expected per inst'!U5</f>
        <v>0.35742971887550201</v>
      </c>
    </row>
    <row r="16" spans="1:21" x14ac:dyDescent="0.35">
      <c r="A16" s="14" t="s">
        <v>29</v>
      </c>
      <c r="B16" s="287">
        <f>B14+B15</f>
        <v>0</v>
      </c>
      <c r="C16" s="288">
        <f t="shared" ref="C16:T16" si="2">C14+C15</f>
        <v>0</v>
      </c>
      <c r="D16" s="287">
        <f t="shared" si="2"/>
        <v>0</v>
      </c>
      <c r="E16" s="289">
        <f t="shared" si="2"/>
        <v>0</v>
      </c>
      <c r="F16" s="290">
        <f t="shared" si="2"/>
        <v>0</v>
      </c>
      <c r="G16" s="291">
        <f t="shared" si="2"/>
        <v>0.99728997289972898</v>
      </c>
      <c r="H16" s="289">
        <f t="shared" si="2"/>
        <v>0</v>
      </c>
      <c r="I16" s="288">
        <f t="shared" si="2"/>
        <v>1</v>
      </c>
      <c r="J16" s="292">
        <f t="shared" si="2"/>
        <v>3.9973055193394176E-2</v>
      </c>
      <c r="K16" s="291">
        <f t="shared" si="2"/>
        <v>0</v>
      </c>
      <c r="L16" s="288">
        <f t="shared" si="2"/>
        <v>0</v>
      </c>
      <c r="M16" s="287">
        <f t="shared" si="2"/>
        <v>1</v>
      </c>
      <c r="N16" s="289">
        <f t="shared" si="2"/>
        <v>1</v>
      </c>
      <c r="O16" s="288">
        <f t="shared" si="2"/>
        <v>0</v>
      </c>
      <c r="P16" s="287">
        <f t="shared" si="2"/>
        <v>0</v>
      </c>
      <c r="Q16" s="289">
        <f t="shared" si="2"/>
        <v>0</v>
      </c>
      <c r="R16" s="289">
        <f t="shared" si="2"/>
        <v>0</v>
      </c>
      <c r="S16" s="290">
        <f t="shared" si="2"/>
        <v>0.4</v>
      </c>
      <c r="T16" s="293">
        <f t="shared" si="2"/>
        <v>0.28125</v>
      </c>
      <c r="U16" s="294">
        <f t="shared" ref="U16" si="3">U14+U15</f>
        <v>0.68598539191091823</v>
      </c>
    </row>
    <row r="17" spans="1:21" ht="15" thickBot="1" x14ac:dyDescent="0.4">
      <c r="A17" s="15" t="s">
        <v>27</v>
      </c>
      <c r="B17" s="419">
        <f>B16+C16</f>
        <v>0</v>
      </c>
      <c r="C17" s="420"/>
      <c r="D17" s="419">
        <f>D16+E16+F16</f>
        <v>0</v>
      </c>
      <c r="E17" s="421"/>
      <c r="F17" s="420"/>
      <c r="G17" s="421">
        <f>G16+H16+I16</f>
        <v>1.9972899728997291</v>
      </c>
      <c r="H17" s="421"/>
      <c r="I17" s="420"/>
      <c r="J17" s="295">
        <f>J16</f>
        <v>3.9973055193394176E-2</v>
      </c>
      <c r="K17" s="419">
        <f>K16+L16</f>
        <v>0</v>
      </c>
      <c r="L17" s="420"/>
      <c r="M17" s="419">
        <f>M16+N16+O16</f>
        <v>2</v>
      </c>
      <c r="N17" s="421"/>
      <c r="O17" s="420"/>
      <c r="P17" s="419">
        <f>P16+Q16+R16+S16</f>
        <v>0.4</v>
      </c>
      <c r="Q17" s="421"/>
      <c r="R17" s="421"/>
      <c r="S17" s="420"/>
      <c r="T17" s="296">
        <f>T16</f>
        <v>0.28125</v>
      </c>
      <c r="U17" s="297">
        <f>U16</f>
        <v>0.68598539191091823</v>
      </c>
    </row>
    <row r="18" spans="1:21" x14ac:dyDescent="0.35">
      <c r="A18" s="13" t="s">
        <v>21</v>
      </c>
      <c r="B18" s="416">
        <v>436250</v>
      </c>
      <c r="C18" s="417"/>
      <c r="D18" s="416">
        <v>821086.25</v>
      </c>
      <c r="E18" s="418"/>
      <c r="F18" s="417"/>
      <c r="G18" s="418">
        <v>1112500</v>
      </c>
      <c r="H18" s="418"/>
      <c r="I18" s="417"/>
      <c r="J18" s="113">
        <v>287625</v>
      </c>
      <c r="K18" s="416">
        <v>346250</v>
      </c>
      <c r="L18" s="417"/>
      <c r="M18" s="416">
        <v>1050562</v>
      </c>
      <c r="N18" s="418"/>
      <c r="O18" s="417"/>
      <c r="P18" s="416">
        <v>585750</v>
      </c>
      <c r="Q18" s="418"/>
      <c r="R18" s="418"/>
      <c r="S18" s="417"/>
      <c r="T18" s="114">
        <v>20000</v>
      </c>
      <c r="U18" s="264">
        <f t="shared" ref="U18" si="4">SUM(B18:T18)</f>
        <v>4660023.25</v>
      </c>
    </row>
    <row r="19" spans="1:21" ht="15" thickBot="1" x14ac:dyDescent="0.4">
      <c r="A19" s="10" t="s">
        <v>18</v>
      </c>
      <c r="B19" s="413" t="s">
        <v>10</v>
      </c>
      <c r="C19" s="415"/>
      <c r="D19" s="413" t="s">
        <v>10</v>
      </c>
      <c r="E19" s="414"/>
      <c r="F19" s="415"/>
      <c r="G19" s="414" t="s">
        <v>10</v>
      </c>
      <c r="H19" s="414"/>
      <c r="I19" s="415"/>
      <c r="J19" s="115" t="s">
        <v>10</v>
      </c>
      <c r="K19" s="413" t="s">
        <v>10</v>
      </c>
      <c r="L19" s="415"/>
      <c r="M19" s="413" t="s">
        <v>10</v>
      </c>
      <c r="N19" s="414"/>
      <c r="O19" s="415"/>
      <c r="P19" s="413" t="s">
        <v>10</v>
      </c>
      <c r="Q19" s="414"/>
      <c r="R19" s="414"/>
      <c r="S19" s="415"/>
      <c r="T19" s="118" t="s">
        <v>10</v>
      </c>
      <c r="U19" s="117" t="s">
        <v>10</v>
      </c>
    </row>
  </sheetData>
  <mergeCells count="50">
    <mergeCell ref="P18:S18"/>
    <mergeCell ref="B19:C19"/>
    <mergeCell ref="D19:F19"/>
    <mergeCell ref="G19:I19"/>
    <mergeCell ref="K19:L19"/>
    <mergeCell ref="M19:O19"/>
    <mergeCell ref="P19:S19"/>
    <mergeCell ref="B18:C18"/>
    <mergeCell ref="D18:F18"/>
    <mergeCell ref="G18:I18"/>
    <mergeCell ref="K18:L18"/>
    <mergeCell ref="M18:O18"/>
    <mergeCell ref="P12:S12"/>
    <mergeCell ref="U12:U13"/>
    <mergeCell ref="B17:C17"/>
    <mergeCell ref="D17:F17"/>
    <mergeCell ref="G17:I17"/>
    <mergeCell ref="K17:L17"/>
    <mergeCell ref="M17:O17"/>
    <mergeCell ref="P17:S17"/>
    <mergeCell ref="B12:C12"/>
    <mergeCell ref="D12:F12"/>
    <mergeCell ref="G12:I12"/>
    <mergeCell ref="K12:L12"/>
    <mergeCell ref="M12:O12"/>
    <mergeCell ref="U2:U3"/>
    <mergeCell ref="B7:C7"/>
    <mergeCell ref="D7:F7"/>
    <mergeCell ref="G7:I7"/>
    <mergeCell ref="K7:L7"/>
    <mergeCell ref="M7:O7"/>
    <mergeCell ref="P7:S7"/>
    <mergeCell ref="B2:C2"/>
    <mergeCell ref="D2:F2"/>
    <mergeCell ref="G2:I2"/>
    <mergeCell ref="K2:L2"/>
    <mergeCell ref="M2:O2"/>
    <mergeCell ref="P2:S2"/>
    <mergeCell ref="P9:S9"/>
    <mergeCell ref="B8:C8"/>
    <mergeCell ref="D8:F8"/>
    <mergeCell ref="G8:I8"/>
    <mergeCell ref="K8:L8"/>
    <mergeCell ref="M8:O8"/>
    <mergeCell ref="P8:S8"/>
    <mergeCell ref="B9:C9"/>
    <mergeCell ref="D9:F9"/>
    <mergeCell ref="G9:I9"/>
    <mergeCell ref="K9:L9"/>
    <mergeCell ref="M9:O9"/>
  </mergeCell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74D5A5-EA6D-423F-80B6-4D9FD77D8203}">
  <dimension ref="A1:K16"/>
  <sheetViews>
    <sheetView zoomScale="90" zoomScaleNormal="90" workbookViewId="0">
      <selection activeCell="L23" sqref="L23"/>
    </sheetView>
  </sheetViews>
  <sheetFormatPr baseColWidth="10" defaultRowHeight="14.5" x14ac:dyDescent="0.35"/>
  <cols>
    <col min="1" max="1" width="17.90625" bestFit="1" customWidth="1"/>
    <col min="4" max="4" width="10.90625" customWidth="1"/>
    <col min="11" max="11" width="12.6328125" bestFit="1" customWidth="1"/>
  </cols>
  <sheetData>
    <row r="1" spans="1:11" ht="15" thickBot="1" x14ac:dyDescent="0.4"/>
    <row r="2" spans="1:11" ht="15" thickBot="1" x14ac:dyDescent="0.4">
      <c r="A2" s="3"/>
      <c r="B2" s="246" t="s">
        <v>0</v>
      </c>
      <c r="C2" s="243" t="s">
        <v>1</v>
      </c>
      <c r="D2" s="241" t="s">
        <v>2</v>
      </c>
      <c r="E2" s="242" t="s">
        <v>3</v>
      </c>
      <c r="F2" s="244" t="s">
        <v>8</v>
      </c>
      <c r="G2" s="245" t="s">
        <v>4</v>
      </c>
      <c r="H2" s="236" t="s">
        <v>5</v>
      </c>
      <c r="I2" s="237" t="s">
        <v>6</v>
      </c>
      <c r="J2" s="238" t="s">
        <v>7</v>
      </c>
      <c r="K2" s="239" t="s">
        <v>9</v>
      </c>
    </row>
    <row r="3" spans="1:11" x14ac:dyDescent="0.35">
      <c r="A3" s="247" t="s">
        <v>31</v>
      </c>
      <c r="B3" s="167">
        <v>784000</v>
      </c>
      <c r="C3" s="167">
        <v>612000</v>
      </c>
      <c r="D3" s="136">
        <v>616000</v>
      </c>
      <c r="E3" s="167">
        <v>620000</v>
      </c>
      <c r="F3" s="136">
        <v>632000</v>
      </c>
      <c r="G3" s="167">
        <v>544000</v>
      </c>
      <c r="H3" s="136">
        <v>104000</v>
      </c>
      <c r="I3" s="167">
        <v>96000</v>
      </c>
      <c r="J3" s="136">
        <v>568000</v>
      </c>
      <c r="K3" s="240">
        <f>SUM(B3:J3)</f>
        <v>4576000</v>
      </c>
    </row>
    <row r="4" spans="1:11" ht="15" thickBot="1" x14ac:dyDescent="0.4">
      <c r="A4" s="12" t="s">
        <v>32</v>
      </c>
      <c r="B4" s="53">
        <v>277800</v>
      </c>
      <c r="C4" s="53">
        <v>204000</v>
      </c>
      <c r="D4" s="50">
        <v>232000</v>
      </c>
      <c r="E4" s="53">
        <v>296000</v>
      </c>
      <c r="F4" s="50"/>
      <c r="G4" s="53">
        <v>2080000</v>
      </c>
      <c r="H4" s="50"/>
      <c r="I4" s="53"/>
      <c r="J4" s="50"/>
      <c r="K4" s="54">
        <f>SUM(B4:J4)</f>
        <v>3089800</v>
      </c>
    </row>
    <row r="5" spans="1:11" x14ac:dyDescent="0.35">
      <c r="A5" s="14" t="s">
        <v>33</v>
      </c>
      <c r="B5" s="63">
        <f>B3+B4</f>
        <v>1061800</v>
      </c>
      <c r="C5" s="63">
        <f t="shared" ref="C5:J5" si="0">C3+C4</f>
        <v>816000</v>
      </c>
      <c r="D5" s="59">
        <f t="shared" si="0"/>
        <v>848000</v>
      </c>
      <c r="E5" s="63">
        <f t="shared" si="0"/>
        <v>916000</v>
      </c>
      <c r="F5" s="59">
        <f t="shared" si="0"/>
        <v>632000</v>
      </c>
      <c r="G5" s="63">
        <f t="shared" si="0"/>
        <v>2624000</v>
      </c>
      <c r="H5" s="59">
        <f t="shared" si="0"/>
        <v>104000</v>
      </c>
      <c r="I5" s="63">
        <f t="shared" si="0"/>
        <v>96000</v>
      </c>
      <c r="J5" s="59">
        <f t="shared" si="0"/>
        <v>568000</v>
      </c>
      <c r="K5" s="172">
        <f t="shared" ref="K5:K7" si="1">SUM(B5:J5)</f>
        <v>7665800</v>
      </c>
    </row>
    <row r="6" spans="1:11" x14ac:dyDescent="0.35">
      <c r="A6" s="153" t="s">
        <v>34</v>
      </c>
      <c r="B6" s="210">
        <v>801419</v>
      </c>
      <c r="C6" s="210">
        <v>399150</v>
      </c>
      <c r="D6" s="211">
        <v>499100</v>
      </c>
      <c r="E6" s="210">
        <v>457750</v>
      </c>
      <c r="F6" s="211">
        <v>82000</v>
      </c>
      <c r="G6" s="210">
        <v>1293000</v>
      </c>
      <c r="H6" s="211">
        <v>40000</v>
      </c>
      <c r="I6" s="210">
        <v>35000</v>
      </c>
      <c r="J6" s="211">
        <v>133000</v>
      </c>
      <c r="K6" s="248">
        <f t="shared" si="1"/>
        <v>3740419</v>
      </c>
    </row>
    <row r="7" spans="1:11" ht="15" thickBot="1" x14ac:dyDescent="0.4">
      <c r="A7" s="170" t="s">
        <v>37</v>
      </c>
      <c r="B7" s="66">
        <f>B8+B6</f>
        <v>1790692.75</v>
      </c>
      <c r="C7" s="66">
        <f t="shared" ref="C7:J7" si="2">C8+C6</f>
        <v>898087.5</v>
      </c>
      <c r="D7" s="65">
        <f t="shared" si="2"/>
        <v>1120475</v>
      </c>
      <c r="E7" s="66">
        <f t="shared" si="2"/>
        <v>1029937.5</v>
      </c>
      <c r="F7" s="65">
        <f t="shared" si="2"/>
        <v>184500</v>
      </c>
      <c r="G7" s="66">
        <f t="shared" si="2"/>
        <v>2909250</v>
      </c>
      <c r="H7" s="65">
        <f t="shared" si="2"/>
        <v>89500</v>
      </c>
      <c r="I7" s="66">
        <f t="shared" si="2"/>
        <v>78750</v>
      </c>
      <c r="J7" s="65">
        <f t="shared" si="2"/>
        <v>299250</v>
      </c>
      <c r="K7" s="16">
        <f t="shared" si="1"/>
        <v>8400442.75</v>
      </c>
    </row>
    <row r="8" spans="1:11" x14ac:dyDescent="0.35">
      <c r="A8" s="255" t="s">
        <v>35</v>
      </c>
      <c r="B8" s="256">
        <v>989273.75</v>
      </c>
      <c r="C8" s="256">
        <v>498937.5</v>
      </c>
      <c r="D8" s="257">
        <v>621375</v>
      </c>
      <c r="E8" s="256">
        <v>572187.5</v>
      </c>
      <c r="F8" s="257">
        <v>102500</v>
      </c>
      <c r="G8" s="256">
        <v>1616250</v>
      </c>
      <c r="H8" s="257">
        <v>49500</v>
      </c>
      <c r="I8" s="256">
        <v>43750</v>
      </c>
      <c r="J8" s="257">
        <v>166250</v>
      </c>
      <c r="K8" s="265">
        <f>SUM(B8:J8)</f>
        <v>4660023.75</v>
      </c>
    </row>
    <row r="9" spans="1:11" x14ac:dyDescent="0.35">
      <c r="A9" s="249" t="s">
        <v>36</v>
      </c>
      <c r="B9" s="250">
        <f>B5+B8</f>
        <v>2051073.75</v>
      </c>
      <c r="C9" s="250">
        <f t="shared" ref="C9:J9" si="3">C5+C8</f>
        <v>1314937.5</v>
      </c>
      <c r="D9" s="209">
        <f>D5+D8</f>
        <v>1469375</v>
      </c>
      <c r="E9" s="250">
        <f t="shared" si="3"/>
        <v>1488187.5</v>
      </c>
      <c r="F9" s="251">
        <f t="shared" si="3"/>
        <v>734500</v>
      </c>
      <c r="G9" s="208">
        <f>G5+G8</f>
        <v>4240250</v>
      </c>
      <c r="H9" s="251">
        <f t="shared" si="3"/>
        <v>153500</v>
      </c>
      <c r="I9" s="250">
        <f t="shared" si="3"/>
        <v>139750</v>
      </c>
      <c r="J9" s="251">
        <f t="shared" si="3"/>
        <v>734250</v>
      </c>
      <c r="K9" s="316">
        <f>K5+K8</f>
        <v>12325823.75</v>
      </c>
    </row>
    <row r="10" spans="1:11" ht="15" thickBot="1" x14ac:dyDescent="0.4">
      <c r="A10" s="10" t="s">
        <v>38</v>
      </c>
      <c r="B10" s="258">
        <f>B8/B9</f>
        <v>0.48231993120676425</v>
      </c>
      <c r="C10" s="258">
        <f t="shared" ref="C10:J10" si="4">C8/C9</f>
        <v>0.37943818622558106</v>
      </c>
      <c r="D10" s="259">
        <f t="shared" si="4"/>
        <v>0.42288387920034026</v>
      </c>
      <c r="E10" s="260">
        <f t="shared" si="4"/>
        <v>0.3844861618579648</v>
      </c>
      <c r="F10" s="259">
        <f t="shared" si="4"/>
        <v>0.13955071477195372</v>
      </c>
      <c r="G10" s="260">
        <f t="shared" si="4"/>
        <v>0.38116856317434111</v>
      </c>
      <c r="H10" s="259">
        <f t="shared" si="4"/>
        <v>0.32247557003257327</v>
      </c>
      <c r="I10" s="260">
        <f t="shared" si="4"/>
        <v>0.31305903398926654</v>
      </c>
      <c r="J10" s="259">
        <f t="shared" si="4"/>
        <v>0.22642151855635001</v>
      </c>
      <c r="K10" s="317">
        <f>K8/K9</f>
        <v>0.37806996469505738</v>
      </c>
    </row>
    <row r="12" spans="1:11" x14ac:dyDescent="0.35">
      <c r="D12" s="253"/>
      <c r="G12" s="253"/>
    </row>
    <row r="13" spans="1:11" x14ac:dyDescent="0.35">
      <c r="D13" s="254"/>
      <c r="E13" s="254"/>
      <c r="F13" s="254"/>
      <c r="G13" s="254"/>
    </row>
    <row r="15" spans="1:11" x14ac:dyDescent="0.35">
      <c r="D15" s="254"/>
      <c r="E15" s="254"/>
      <c r="F15" s="254"/>
      <c r="G15" s="254"/>
    </row>
    <row r="16" spans="1:11" x14ac:dyDescent="0.35">
      <c r="D16" s="254"/>
      <c r="E16" s="254"/>
      <c r="F16" s="254"/>
      <c r="G16" s="254"/>
    </row>
  </sheetData>
  <pageMargins left="0.7" right="0.7" top="0.75" bottom="0.75" header="0.3" footer="0.3"/>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A1AAF9-99E4-40BE-892A-A1E467DD7054}">
  <dimension ref="A2:S18"/>
  <sheetViews>
    <sheetView tabSelected="1" zoomScale="90" zoomScaleNormal="90" workbookViewId="0">
      <selection activeCell="A11" sqref="A11"/>
    </sheetView>
  </sheetViews>
  <sheetFormatPr baseColWidth="10" defaultRowHeight="14.5" x14ac:dyDescent="0.35"/>
  <cols>
    <col min="1" max="1" width="17.08984375" customWidth="1"/>
    <col min="5" max="5" width="1.81640625" customWidth="1"/>
    <col min="6" max="6" width="17.453125" customWidth="1"/>
    <col min="10" max="10" width="1.90625" customWidth="1"/>
    <col min="11" max="11" width="16.81640625" customWidth="1"/>
    <col min="15" max="15" width="1.81640625" customWidth="1"/>
    <col min="16" max="16" width="16.453125" customWidth="1"/>
  </cols>
  <sheetData>
    <row r="2" spans="1:19" x14ac:dyDescent="0.35">
      <c r="A2" s="422" t="s">
        <v>50</v>
      </c>
      <c r="B2" s="422"/>
      <c r="C2" s="422"/>
      <c r="D2" s="422"/>
      <c r="E2" s="2"/>
      <c r="F2" s="422" t="s">
        <v>51</v>
      </c>
      <c r="G2" s="422"/>
      <c r="H2" s="422"/>
      <c r="I2" s="422"/>
      <c r="J2" s="2"/>
      <c r="K2" s="422" t="s">
        <v>52</v>
      </c>
      <c r="L2" s="422"/>
      <c r="M2" s="422"/>
      <c r="N2" s="422"/>
      <c r="O2" s="2"/>
      <c r="P2" s="422" t="s">
        <v>53</v>
      </c>
      <c r="Q2" s="422"/>
      <c r="R2" s="422"/>
      <c r="S2" s="422"/>
    </row>
    <row r="3" spans="1:19" ht="15" thickBot="1" x14ac:dyDescent="0.4"/>
    <row r="4" spans="1:19" x14ac:dyDescent="0.35">
      <c r="B4" s="431" t="s">
        <v>49</v>
      </c>
      <c r="C4" s="447" t="s">
        <v>48</v>
      </c>
      <c r="D4" s="424" t="s">
        <v>9</v>
      </c>
      <c r="G4" s="431" t="s">
        <v>49</v>
      </c>
      <c r="H4" s="447" t="s">
        <v>48</v>
      </c>
      <c r="I4" s="424" t="s">
        <v>9</v>
      </c>
      <c r="L4" s="431" t="s">
        <v>49</v>
      </c>
      <c r="M4" s="447" t="s">
        <v>48</v>
      </c>
      <c r="N4" s="424" t="s">
        <v>9</v>
      </c>
      <c r="Q4" s="447" t="s">
        <v>49</v>
      </c>
      <c r="R4" s="454" t="s">
        <v>48</v>
      </c>
      <c r="S4" s="424" t="s">
        <v>9</v>
      </c>
    </row>
    <row r="5" spans="1:19" ht="15" thickBot="1" x14ac:dyDescent="0.4">
      <c r="A5" s="423"/>
      <c r="B5" s="428" t="s">
        <v>8</v>
      </c>
      <c r="C5" s="448" t="s">
        <v>2</v>
      </c>
      <c r="D5" s="425"/>
      <c r="F5" s="70" t="s">
        <v>42</v>
      </c>
      <c r="G5" s="428" t="s">
        <v>8</v>
      </c>
      <c r="H5" s="448" t="s">
        <v>2</v>
      </c>
      <c r="I5" s="425"/>
      <c r="K5" s="70" t="s">
        <v>45</v>
      </c>
      <c r="L5" s="428" t="s">
        <v>8</v>
      </c>
      <c r="M5" s="448" t="s">
        <v>2</v>
      </c>
      <c r="N5" s="425"/>
      <c r="P5" s="423"/>
      <c r="Q5" s="448" t="s">
        <v>8</v>
      </c>
      <c r="R5" s="455" t="s">
        <v>2</v>
      </c>
      <c r="S5" s="425"/>
    </row>
    <row r="6" spans="1:19" x14ac:dyDescent="0.35">
      <c r="A6" s="157" t="s">
        <v>22</v>
      </c>
      <c r="B6" s="163">
        <v>0</v>
      </c>
      <c r="C6" s="167">
        <v>0</v>
      </c>
      <c r="D6" s="168">
        <f>SUM(B6:C6)</f>
        <v>0</v>
      </c>
      <c r="F6" s="9" t="s">
        <v>22</v>
      </c>
      <c r="G6" s="38">
        <v>0</v>
      </c>
      <c r="H6" s="44">
        <v>0</v>
      </c>
      <c r="I6" s="45">
        <f>SUM(G6:H6)</f>
        <v>0</v>
      </c>
      <c r="K6" s="9" t="s">
        <v>22</v>
      </c>
      <c r="L6" s="38">
        <f>B6-G6</f>
        <v>0</v>
      </c>
      <c r="M6" s="44">
        <f>C6-H6</f>
        <v>0</v>
      </c>
      <c r="N6" s="45">
        <f>D6-I6</f>
        <v>0</v>
      </c>
      <c r="P6" s="247" t="s">
        <v>31</v>
      </c>
      <c r="Q6" s="167">
        <v>0</v>
      </c>
      <c r="R6" s="165">
        <v>0</v>
      </c>
      <c r="S6" s="45">
        <f>SUM(Q6:R6)</f>
        <v>0</v>
      </c>
    </row>
    <row r="7" spans="1:19" ht="15" thickBot="1" x14ac:dyDescent="0.4">
      <c r="A7" s="158" t="s">
        <v>23</v>
      </c>
      <c r="B7" s="46">
        <v>0</v>
      </c>
      <c r="C7" s="53">
        <v>0</v>
      </c>
      <c r="D7" s="169">
        <f>SUM(B7:C7)</f>
        <v>0</v>
      </c>
      <c r="F7" s="12" t="s">
        <v>23</v>
      </c>
      <c r="G7" s="46">
        <v>0</v>
      </c>
      <c r="H7" s="53">
        <v>0</v>
      </c>
      <c r="I7" s="54">
        <f>SUM(G7:H7)</f>
        <v>0</v>
      </c>
      <c r="K7" s="12" t="s">
        <v>23</v>
      </c>
      <c r="L7" s="46">
        <f>B7-G7</f>
        <v>0</v>
      </c>
      <c r="M7" s="53">
        <f>C7-H7</f>
        <v>0</v>
      </c>
      <c r="N7" s="54">
        <f>D7-I7</f>
        <v>0</v>
      </c>
      <c r="P7" s="12" t="s">
        <v>32</v>
      </c>
      <c r="Q7" s="53">
        <v>0</v>
      </c>
      <c r="R7" s="49">
        <v>0</v>
      </c>
      <c r="S7" s="54">
        <f t="shared" ref="S7:S8" si="0">SUM(Q7:R7)</f>
        <v>0</v>
      </c>
    </row>
    <row r="8" spans="1:19" ht="15" thickBot="1" x14ac:dyDescent="0.4">
      <c r="A8" s="159" t="s">
        <v>54</v>
      </c>
      <c r="B8" s="55">
        <f>B6+B7</f>
        <v>0</v>
      </c>
      <c r="C8" s="449">
        <f>C6+C7</f>
        <v>0</v>
      </c>
      <c r="D8" s="64">
        <f>SUM(B8:C8)</f>
        <v>0</v>
      </c>
      <c r="F8" s="159" t="s">
        <v>54</v>
      </c>
      <c r="G8" s="55">
        <f>G6+G7</f>
        <v>0</v>
      </c>
      <c r="H8" s="63">
        <f t="shared" ref="H8" si="1">H6+H7</f>
        <v>0</v>
      </c>
      <c r="I8" s="64">
        <f>SUM(G8:H8)</f>
        <v>0</v>
      </c>
      <c r="K8" s="433" t="s">
        <v>54</v>
      </c>
      <c r="L8" s="443">
        <f>B8-G8</f>
        <v>0</v>
      </c>
      <c r="M8" s="449">
        <f>C8-H8</f>
        <v>0</v>
      </c>
      <c r="N8" s="444">
        <f>D8-I8</f>
        <v>0</v>
      </c>
      <c r="P8" s="14" t="s">
        <v>56</v>
      </c>
      <c r="Q8" s="63">
        <f>Q6+Q7</f>
        <v>0</v>
      </c>
      <c r="R8" s="63">
        <f>R6+R7</f>
        <v>0</v>
      </c>
      <c r="S8" s="444">
        <f t="shared" si="0"/>
        <v>0</v>
      </c>
    </row>
    <row r="9" spans="1:19" ht="15" thickBot="1" x14ac:dyDescent="0.4">
      <c r="A9" s="212" t="s">
        <v>59</v>
      </c>
      <c r="B9" s="446"/>
      <c r="C9" s="223"/>
      <c r="D9" s="172">
        <f>SUM(B9:C9)</f>
        <v>0</v>
      </c>
      <c r="F9" s="439" t="s">
        <v>21</v>
      </c>
      <c r="G9" s="438"/>
      <c r="H9" s="451"/>
      <c r="I9" s="430"/>
      <c r="K9" s="445" t="s">
        <v>21</v>
      </c>
      <c r="L9" s="436"/>
      <c r="M9" s="452"/>
      <c r="N9" s="426"/>
      <c r="P9" s="255" t="s">
        <v>57</v>
      </c>
      <c r="Q9" s="256"/>
      <c r="R9" s="456"/>
      <c r="S9" s="426"/>
    </row>
    <row r="10" spans="1:19" ht="15" thickBot="1" x14ac:dyDescent="0.4">
      <c r="A10" s="207" t="s">
        <v>55</v>
      </c>
      <c r="B10" s="320">
        <f>B8+B9</f>
        <v>0</v>
      </c>
      <c r="C10" s="320">
        <f>C8+C9</f>
        <v>0</v>
      </c>
      <c r="D10" s="441">
        <f>SUM(B10:C10)</f>
        <v>0</v>
      </c>
      <c r="K10" s="437" t="s">
        <v>18</v>
      </c>
      <c r="L10" s="437"/>
      <c r="M10" s="10"/>
      <c r="N10" s="11"/>
      <c r="P10" s="249" t="s">
        <v>36</v>
      </c>
      <c r="Q10" s="250"/>
      <c r="R10" s="250"/>
      <c r="S10" s="429"/>
    </row>
    <row r="11" spans="1:19" ht="15" thickBot="1" x14ac:dyDescent="0.4">
      <c r="A11" s="171" t="s">
        <v>21</v>
      </c>
      <c r="B11" s="432"/>
      <c r="C11" s="450"/>
      <c r="D11" s="440"/>
      <c r="N11" s="427"/>
      <c r="P11" s="10" t="s">
        <v>58</v>
      </c>
      <c r="Q11" s="258"/>
      <c r="R11" s="457"/>
      <c r="S11" s="317"/>
    </row>
    <row r="12" spans="1:19" x14ac:dyDescent="0.35">
      <c r="L12" s="431" t="s">
        <v>49</v>
      </c>
      <c r="M12" s="447" t="s">
        <v>48</v>
      </c>
      <c r="N12" s="424" t="s">
        <v>9</v>
      </c>
    </row>
    <row r="13" spans="1:19" ht="15" thickBot="1" x14ac:dyDescent="0.4">
      <c r="K13" s="70" t="s">
        <v>46</v>
      </c>
      <c r="L13" s="428" t="s">
        <v>8</v>
      </c>
      <c r="M13" s="448" t="s">
        <v>2</v>
      </c>
      <c r="N13" s="425"/>
    </row>
    <row r="14" spans="1:19" x14ac:dyDescent="0.35">
      <c r="K14" s="9" t="s">
        <v>22</v>
      </c>
      <c r="L14" s="176"/>
      <c r="M14" s="182"/>
      <c r="N14" s="203"/>
    </row>
    <row r="15" spans="1:19" ht="15" thickBot="1" x14ac:dyDescent="0.4">
      <c r="B15" s="302"/>
      <c r="K15" s="12" t="s">
        <v>23</v>
      </c>
      <c r="L15" s="183"/>
      <c r="M15" s="190"/>
      <c r="N15" s="204"/>
    </row>
    <row r="16" spans="1:19" ht="15" thickBot="1" x14ac:dyDescent="0.4">
      <c r="K16" s="433" t="s">
        <v>54</v>
      </c>
      <c r="L16" s="434"/>
      <c r="M16" s="453"/>
      <c r="N16" s="435"/>
    </row>
    <row r="17" spans="11:14" x14ac:dyDescent="0.35">
      <c r="K17" s="13" t="s">
        <v>21</v>
      </c>
      <c r="L17" s="442"/>
      <c r="M17" s="452"/>
      <c r="N17" s="426"/>
    </row>
    <row r="18" spans="11:14" ht="15" thickBot="1" x14ac:dyDescent="0.4">
      <c r="K18" s="10" t="s">
        <v>18</v>
      </c>
      <c r="L18" s="437"/>
      <c r="M18" s="10"/>
      <c r="N18" s="11"/>
    </row>
  </sheetData>
  <mergeCells count="9">
    <mergeCell ref="D4:D5"/>
    <mergeCell ref="I4:I5"/>
    <mergeCell ref="N4:N5"/>
    <mergeCell ref="N12:N13"/>
    <mergeCell ref="S4:S5"/>
    <mergeCell ref="P2:S2"/>
    <mergeCell ref="A2:D2"/>
    <mergeCell ref="F2:I2"/>
    <mergeCell ref="K2:N2"/>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8</vt:i4>
      </vt:variant>
    </vt:vector>
  </HeadingPairs>
  <TitlesOfParts>
    <vt:vector size="8" baseType="lpstr">
      <vt:lpstr>Expected per WP</vt:lpstr>
      <vt:lpstr>Expenses per WP</vt:lpstr>
      <vt:lpstr>Ecarts per WP</vt:lpstr>
      <vt:lpstr>Expected per inst</vt:lpstr>
      <vt:lpstr>Expenses per inst</vt:lpstr>
      <vt:lpstr>Ecarts per inst</vt:lpstr>
      <vt:lpstr>Expected matching funds</vt:lpstr>
      <vt:lpstr>EPFL &amp; UKRI funds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adele de-valera</dc:creator>
  <cp:lastModifiedBy>adele de-valera</cp:lastModifiedBy>
  <dcterms:created xsi:type="dcterms:W3CDTF">2025-02-14T08:58:57Z</dcterms:created>
  <dcterms:modified xsi:type="dcterms:W3CDTF">2025-05-14T09:02:37Z</dcterms:modified>
</cp:coreProperties>
</file>