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820" yWindow="0" windowWidth="25320" windowHeight="15870" tabRatio="500" firstSheet="4" activeTab="4"/>
  </bookViews>
  <sheets>
    <sheet name="BaBar" sheetId="1" r:id="rId1"/>
    <sheet name="SBParams" sheetId="4" r:id="rId2"/>
    <sheet name="SBPerf" sheetId="3" r:id="rId3"/>
    <sheet name="Industry" sheetId="2" r:id="rId4"/>
    <sheet name="SBEstimates" sheetId="6" r:id="rId5"/>
  </sheets>
  <calcPr calcId="1257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9" i="6"/>
  <c r="F59"/>
  <c r="G59"/>
  <c r="H59"/>
  <c r="I59"/>
  <c r="J59"/>
  <c r="D59"/>
  <c r="E83"/>
  <c r="F83"/>
  <c r="G83"/>
  <c r="H83"/>
  <c r="I83"/>
  <c r="J83"/>
  <c r="K83"/>
  <c r="D83"/>
  <c r="D84"/>
  <c r="D86"/>
  <c r="E88"/>
  <c r="D88"/>
  <c r="D89"/>
  <c r="D90"/>
  <c r="E92"/>
  <c r="D92"/>
  <c r="D93"/>
  <c r="D95"/>
  <c r="D97"/>
  <c r="D99"/>
  <c r="E84"/>
  <c r="E86"/>
  <c r="F88"/>
  <c r="E89"/>
  <c r="E90"/>
  <c r="F92"/>
  <c r="E93"/>
  <c r="E95"/>
  <c r="E97"/>
  <c r="E99"/>
  <c r="F84"/>
  <c r="F86"/>
  <c r="G88"/>
  <c r="F89"/>
  <c r="F90"/>
  <c r="G92"/>
  <c r="F93"/>
  <c r="F95"/>
  <c r="F97"/>
  <c r="F99"/>
  <c r="G84"/>
  <c r="G85"/>
  <c r="G86"/>
  <c r="H88"/>
  <c r="G89"/>
  <c r="G90"/>
  <c r="H92"/>
  <c r="G93"/>
  <c r="G94"/>
  <c r="G95"/>
  <c r="G97"/>
  <c r="G99"/>
  <c r="H84"/>
  <c r="H85"/>
  <c r="H86"/>
  <c r="I88"/>
  <c r="H89"/>
  <c r="H90"/>
  <c r="I92"/>
  <c r="H93"/>
  <c r="H94"/>
  <c r="H95"/>
  <c r="H97"/>
  <c r="H99"/>
  <c r="I84"/>
  <c r="I85"/>
  <c r="I86"/>
  <c r="J88"/>
  <c r="I89"/>
  <c r="I90"/>
  <c r="J92"/>
  <c r="I93"/>
  <c r="I94"/>
  <c r="I95"/>
  <c r="I97"/>
  <c r="I99"/>
  <c r="J84"/>
  <c r="J85"/>
  <c r="J86"/>
  <c r="K88"/>
  <c r="J89"/>
  <c r="J90"/>
  <c r="K92"/>
  <c r="J93"/>
  <c r="J94"/>
  <c r="J95"/>
  <c r="J97"/>
  <c r="J99"/>
  <c r="M99"/>
  <c r="M97"/>
  <c r="M95"/>
  <c r="M90"/>
  <c r="E10"/>
  <c r="E15"/>
  <c r="E16"/>
  <c r="E17"/>
  <c r="E18"/>
  <c r="E9"/>
  <c r="E19"/>
  <c r="E20"/>
  <c r="E21"/>
  <c r="E27"/>
  <c r="D10"/>
  <c r="D15"/>
  <c r="D16"/>
  <c r="D17"/>
  <c r="D18"/>
  <c r="D9"/>
  <c r="D19"/>
  <c r="D20"/>
  <c r="D21"/>
  <c r="D27"/>
  <c r="F10"/>
  <c r="F15"/>
  <c r="F16"/>
  <c r="F17"/>
  <c r="F18"/>
  <c r="F9"/>
  <c r="F19"/>
  <c r="F20"/>
  <c r="F21"/>
  <c r="F27"/>
  <c r="G10"/>
  <c r="G15"/>
  <c r="G16"/>
  <c r="G17"/>
  <c r="G18"/>
  <c r="G9"/>
  <c r="G19"/>
  <c r="G20"/>
  <c r="G21"/>
  <c r="G27"/>
  <c r="H10"/>
  <c r="H15"/>
  <c r="H16"/>
  <c r="H17"/>
  <c r="H18"/>
  <c r="H9"/>
  <c r="H19"/>
  <c r="H20"/>
  <c r="H21"/>
  <c r="H27"/>
  <c r="I10"/>
  <c r="I15"/>
  <c r="I16"/>
  <c r="I17"/>
  <c r="I18"/>
  <c r="I9"/>
  <c r="I19"/>
  <c r="I20"/>
  <c r="I21"/>
  <c r="I27"/>
  <c r="J10"/>
  <c r="J15"/>
  <c r="J16"/>
  <c r="J17"/>
  <c r="J18"/>
  <c r="J9"/>
  <c r="J19"/>
  <c r="J20"/>
  <c r="J21"/>
  <c r="J27"/>
  <c r="K10"/>
  <c r="K15"/>
  <c r="K16"/>
  <c r="K17"/>
  <c r="K18"/>
  <c r="K9"/>
  <c r="K19"/>
  <c r="K20"/>
  <c r="K21"/>
  <c r="K27"/>
  <c r="M86"/>
  <c r="E14"/>
  <c r="E79"/>
  <c r="D14"/>
  <c r="D79"/>
  <c r="D80"/>
  <c r="D81"/>
  <c r="F14"/>
  <c r="F79"/>
  <c r="E80"/>
  <c r="E81"/>
  <c r="G14"/>
  <c r="G79"/>
  <c r="F80"/>
  <c r="F81"/>
  <c r="H14"/>
  <c r="H79"/>
  <c r="G80"/>
  <c r="G81"/>
  <c r="I14"/>
  <c r="I79"/>
  <c r="H80"/>
  <c r="H81"/>
  <c r="J14"/>
  <c r="J79"/>
  <c r="I80"/>
  <c r="I81"/>
  <c r="K14"/>
  <c r="K79"/>
  <c r="J80"/>
  <c r="J81"/>
  <c r="M81"/>
  <c r="H33"/>
  <c r="H34"/>
  <c r="H8"/>
  <c r="H35"/>
  <c r="H36"/>
  <c r="H37"/>
  <c r="H38"/>
  <c r="G8"/>
  <c r="G35"/>
  <c r="F8"/>
  <c r="F35"/>
  <c r="E8"/>
  <c r="E35"/>
  <c r="D8"/>
  <c r="D35"/>
  <c r="E39"/>
  <c r="F39"/>
  <c r="G39"/>
  <c r="H39"/>
  <c r="G36"/>
  <c r="F36"/>
  <c r="E36"/>
  <c r="D36"/>
  <c r="E40"/>
  <c r="F40"/>
  <c r="G40"/>
  <c r="H40"/>
  <c r="G37"/>
  <c r="F37"/>
  <c r="E37"/>
  <c r="D37"/>
  <c r="E41"/>
  <c r="F41"/>
  <c r="G41"/>
  <c r="H41"/>
  <c r="G38"/>
  <c r="F38"/>
  <c r="E38"/>
  <c r="D38"/>
  <c r="E42"/>
  <c r="F42"/>
  <c r="G42"/>
  <c r="H42"/>
  <c r="H44"/>
  <c r="G33"/>
  <c r="G34"/>
  <c r="G44"/>
  <c r="F33"/>
  <c r="F34"/>
  <c r="F44"/>
  <c r="E33"/>
  <c r="E34"/>
  <c r="E44"/>
  <c r="D33"/>
  <c r="D34"/>
  <c r="D44"/>
  <c r="G57"/>
  <c r="K33"/>
  <c r="K34"/>
  <c r="K8"/>
  <c r="K35"/>
  <c r="K36"/>
  <c r="K37"/>
  <c r="K38"/>
  <c r="J8"/>
  <c r="J35"/>
  <c r="I8"/>
  <c r="I35"/>
  <c r="I39"/>
  <c r="J39"/>
  <c r="K39"/>
  <c r="J36"/>
  <c r="I36"/>
  <c r="I40"/>
  <c r="J40"/>
  <c r="K40"/>
  <c r="J37"/>
  <c r="I37"/>
  <c r="I41"/>
  <c r="J41"/>
  <c r="K41"/>
  <c r="J38"/>
  <c r="I38"/>
  <c r="I42"/>
  <c r="J42"/>
  <c r="K42"/>
  <c r="K44"/>
  <c r="J33"/>
  <c r="J34"/>
  <c r="J44"/>
  <c r="I33"/>
  <c r="I34"/>
  <c r="I44"/>
  <c r="D53"/>
  <c r="E28"/>
  <c r="D28"/>
  <c r="D51"/>
  <c r="F22"/>
  <c r="F29"/>
  <c r="E22"/>
  <c r="E29"/>
  <c r="G22"/>
  <c r="G29"/>
  <c r="H22"/>
  <c r="H29"/>
  <c r="I22"/>
  <c r="I29"/>
  <c r="J22"/>
  <c r="J29"/>
  <c r="K22"/>
  <c r="K29"/>
  <c r="D29"/>
  <c r="D52"/>
  <c r="G55"/>
  <c r="E4"/>
  <c r="E50"/>
  <c r="E78"/>
  <c r="F4"/>
  <c r="F50"/>
  <c r="F78"/>
  <c r="G4"/>
  <c r="G50"/>
  <c r="G78"/>
  <c r="H4"/>
  <c r="H50"/>
  <c r="H78"/>
  <c r="I4"/>
  <c r="I50"/>
  <c r="I78"/>
  <c r="J4"/>
  <c r="J50"/>
  <c r="J78"/>
  <c r="K4"/>
  <c r="K50"/>
  <c r="K78"/>
  <c r="D4"/>
  <c r="D50"/>
  <c r="D78"/>
  <c r="D12" i="4"/>
  <c r="D14"/>
  <c r="D13"/>
  <c r="D15"/>
  <c r="E12"/>
  <c r="E14"/>
  <c r="E13"/>
  <c r="E15"/>
  <c r="E11"/>
  <c r="D11"/>
  <c r="B19" i="1"/>
  <c r="E22" i="4"/>
  <c r="B20" i="1"/>
  <c r="E23" i="4"/>
  <c r="B21" i="1"/>
  <c r="E24" i="4"/>
  <c r="B22" i="1"/>
  <c r="E25" i="4"/>
  <c r="B23" i="1"/>
  <c r="E26" i="4"/>
  <c r="B24" i="1"/>
  <c r="E27" i="4"/>
  <c r="D24"/>
  <c r="D25"/>
  <c r="D26"/>
  <c r="D27"/>
  <c r="D22"/>
  <c r="D23"/>
  <c r="F12"/>
  <c r="F13"/>
  <c r="F14"/>
  <c r="F15"/>
  <c r="F11"/>
  <c r="E52" i="6"/>
  <c r="F28"/>
  <c r="E51"/>
  <c r="F22" i="4"/>
  <c r="F23"/>
  <c r="F24"/>
  <c r="F25"/>
  <c r="F26"/>
  <c r="F27"/>
  <c r="E53" i="6"/>
  <c r="H12" i="4"/>
  <c r="H14"/>
  <c r="H13"/>
  <c r="H15"/>
  <c r="H28" i="6"/>
  <c r="G12" i="4"/>
  <c r="G14"/>
  <c r="G13"/>
  <c r="G15"/>
  <c r="G28" i="6"/>
  <c r="G51"/>
  <c r="H11" i="4"/>
  <c r="G11"/>
  <c r="G52" i="6"/>
  <c r="H22" i="4"/>
  <c r="H23"/>
  <c r="H24"/>
  <c r="H25"/>
  <c r="H26"/>
  <c r="H27"/>
  <c r="G24"/>
  <c r="G25"/>
  <c r="G26"/>
  <c r="G27"/>
  <c r="G22"/>
  <c r="G23"/>
  <c r="G53" i="6"/>
  <c r="F51"/>
  <c r="F52"/>
  <c r="F53"/>
  <c r="I12" i="4"/>
  <c r="I14"/>
  <c r="I13"/>
  <c r="I15"/>
  <c r="I28" i="6"/>
  <c r="H51"/>
  <c r="I11" i="4"/>
  <c r="H52" i="6"/>
  <c r="H55"/>
  <c r="I22" i="4"/>
  <c r="I23"/>
  <c r="I24"/>
  <c r="I25"/>
  <c r="I26"/>
  <c r="I27"/>
  <c r="H53" i="6"/>
  <c r="H57"/>
  <c r="J12" i="4"/>
  <c r="J14"/>
  <c r="J13"/>
  <c r="J15"/>
  <c r="J28" i="6"/>
  <c r="I51"/>
  <c r="J11" i="4"/>
  <c r="I52" i="6"/>
  <c r="I55"/>
  <c r="J22" i="4"/>
  <c r="J23"/>
  <c r="J24"/>
  <c r="J25"/>
  <c r="J26"/>
  <c r="J27"/>
  <c r="I53" i="6"/>
  <c r="I57"/>
  <c r="K12" i="4"/>
  <c r="K14"/>
  <c r="K13"/>
  <c r="K15"/>
  <c r="K28" i="6"/>
  <c r="J51"/>
  <c r="K11" i="4"/>
  <c r="J52" i="6"/>
  <c r="J55"/>
  <c r="K22" i="4"/>
  <c r="K23"/>
  <c r="K24"/>
  <c r="K25"/>
  <c r="K26"/>
  <c r="K27"/>
  <c r="J53" i="6"/>
  <c r="J57"/>
  <c r="N59"/>
  <c r="D71"/>
  <c r="E71"/>
  <c r="F71"/>
  <c r="G71"/>
  <c r="H71"/>
  <c r="I71"/>
  <c r="J71"/>
  <c r="K71"/>
  <c r="E72"/>
  <c r="F72"/>
  <c r="G72"/>
  <c r="H72"/>
  <c r="I72"/>
  <c r="J72"/>
  <c r="K72"/>
  <c r="E73"/>
  <c r="F73"/>
  <c r="G73"/>
  <c r="H73"/>
  <c r="I73"/>
  <c r="J73"/>
  <c r="K73"/>
  <c r="N56"/>
  <c r="N55"/>
  <c r="N53"/>
  <c r="N52"/>
  <c r="N51"/>
  <c r="F64"/>
  <c r="F65"/>
  <c r="F66"/>
  <c r="F67"/>
  <c r="G64"/>
  <c r="G65"/>
  <c r="G66"/>
  <c r="G67"/>
  <c r="H64"/>
  <c r="H65"/>
  <c r="H66"/>
  <c r="H67"/>
  <c r="I64"/>
  <c r="I65"/>
  <c r="I66"/>
  <c r="I67"/>
  <c r="J64"/>
  <c r="J65"/>
  <c r="J66"/>
  <c r="J67"/>
  <c r="K64"/>
  <c r="K65"/>
  <c r="K66"/>
  <c r="K67"/>
  <c r="E64"/>
  <c r="E65"/>
  <c r="E66"/>
  <c r="E67"/>
  <c r="F13"/>
  <c r="F32"/>
  <c r="G13"/>
  <c r="G32"/>
  <c r="H13"/>
  <c r="H32"/>
  <c r="I13"/>
  <c r="I32"/>
  <c r="J13"/>
  <c r="J32"/>
  <c r="K13"/>
  <c r="K32"/>
  <c r="E13"/>
  <c r="E32"/>
  <c r="D66"/>
  <c r="D65"/>
  <c r="D64"/>
  <c r="E23"/>
  <c r="E26"/>
  <c r="F23"/>
  <c r="F24"/>
  <c r="F26"/>
  <c r="G24"/>
  <c r="G23"/>
  <c r="G26"/>
  <c r="H23"/>
  <c r="H24"/>
  <c r="H26"/>
  <c r="I23"/>
  <c r="I24"/>
  <c r="I26"/>
  <c r="J23"/>
  <c r="J24"/>
  <c r="J26"/>
  <c r="K23"/>
  <c r="K24"/>
  <c r="K26"/>
  <c r="D26"/>
  <c r="K16" i="4"/>
  <c r="K17"/>
  <c r="K18"/>
  <c r="K19"/>
  <c r="K20"/>
  <c r="K21"/>
  <c r="K6" i="1"/>
  <c r="K6" i="4"/>
  <c r="C14" i="2"/>
  <c r="D14"/>
  <c r="E14"/>
  <c r="F14"/>
  <c r="G14"/>
  <c r="H14"/>
  <c r="I14"/>
  <c r="J14"/>
  <c r="K14"/>
  <c r="L14"/>
  <c r="M14"/>
  <c r="N14"/>
  <c r="O14"/>
  <c r="B14"/>
  <c r="D16" i="4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D21"/>
  <c r="E21"/>
  <c r="F21"/>
  <c r="G21"/>
  <c r="H21"/>
  <c r="I21"/>
  <c r="J21"/>
  <c r="E6" i="1"/>
  <c r="F6"/>
  <c r="G6"/>
  <c r="H6"/>
  <c r="I6"/>
  <c r="J6"/>
  <c r="D6"/>
  <c r="A9"/>
  <c r="A10"/>
  <c r="A11"/>
  <c r="A12"/>
  <c r="A13"/>
  <c r="A14"/>
  <c r="A15"/>
  <c r="A16"/>
  <c r="A17"/>
  <c r="A18"/>
  <c r="A19"/>
  <c r="A20"/>
  <c r="A21"/>
  <c r="A22"/>
  <c r="A23"/>
  <c r="A24"/>
  <c r="A8"/>
  <c r="J6" i="3"/>
  <c r="J6" i="4"/>
  <c r="E6" i="3"/>
  <c r="E6" i="4"/>
  <c r="F6" i="3"/>
  <c r="F6" i="4"/>
  <c r="G6" i="3"/>
  <c r="G6" i="4"/>
  <c r="H6" i="3"/>
  <c r="H6" i="4"/>
  <c r="I6" i="3"/>
  <c r="I6" i="4"/>
  <c r="D6" i="3"/>
  <c r="D6" i="4"/>
  <c r="K6" i="3"/>
  <c r="D14"/>
  <c r="D15"/>
  <c r="G14"/>
  <c r="H13"/>
  <c r="H14"/>
  <c r="I13"/>
  <c r="I14"/>
  <c r="J13"/>
  <c r="J14"/>
  <c r="K13"/>
  <c r="K14"/>
  <c r="F14"/>
  <c r="E14"/>
  <c r="E15"/>
  <c r="F15"/>
  <c r="G15"/>
  <c r="H15"/>
  <c r="I15"/>
  <c r="J15"/>
  <c r="K15"/>
  <c r="E13" i="2"/>
  <c r="F13"/>
  <c r="G13"/>
  <c r="H13"/>
  <c r="I13"/>
  <c r="J13"/>
  <c r="K13"/>
  <c r="L13"/>
  <c r="M13"/>
  <c r="N13"/>
  <c r="O13"/>
  <c r="E12"/>
  <c r="F12"/>
  <c r="G12"/>
  <c r="H12"/>
  <c r="I12"/>
  <c r="J12"/>
  <c r="K12"/>
  <c r="L12"/>
  <c r="M12"/>
  <c r="N12"/>
  <c r="O12"/>
</calcChain>
</file>

<file path=xl/sharedStrings.xml><?xml version="1.0" encoding="utf-8"?>
<sst xmlns="http://schemas.openxmlformats.org/spreadsheetml/2006/main" count="142" uniqueCount="121">
  <si>
    <t>MC sample: 1 x cross section</t>
  </si>
  <si>
    <t>Year</t>
  </si>
  <si>
    <t>Size of Raw Data(TB/ab-1)</t>
  </si>
  <si>
    <t>Micro Data Size(TB/ab-1)</t>
  </si>
  <si>
    <t>Mini Data Size(TB/ab-1)</t>
  </si>
  <si>
    <t>Micro MonteCarlo Size(TB/ab-1)</t>
  </si>
  <si>
    <t>Mini MonteCarlo Size(TB/ab-1)</t>
  </si>
  <si>
    <t>Copies  of Raw Data</t>
  </si>
  <si>
    <t>Copies of micro</t>
  </si>
  <si>
    <t>Copies of mini</t>
  </si>
  <si>
    <t>Copies of MonteCarlo micro</t>
  </si>
  <si>
    <t>Copies of MonteCarlo mini</t>
  </si>
  <si>
    <t>Skim Expansion Factor</t>
  </si>
  <si>
    <t>User data to micro ratio</t>
  </si>
  <si>
    <t>Production buffer to micro+mini+... ratio</t>
  </si>
  <si>
    <t>Copies of skims</t>
  </si>
  <si>
    <t>Fraction of Micro Data on Disk</t>
  </si>
  <si>
    <t>Fraction of Mini Data on Disk</t>
  </si>
  <si>
    <t>Fraction of Micro MonteCarlo on Disk</t>
  </si>
  <si>
    <t>Fraction of Mini MonteCarlo on Disk</t>
  </si>
  <si>
    <t>Fraction of Skims on Disk</t>
  </si>
  <si>
    <t>Technical reserve</t>
  </si>
  <si>
    <t>CPU: Data Reconstruction (KSpecInt2000/10^36 cm^2sec^-1)</t>
  </si>
  <si>
    <t>CPU: MonteCarlo Production (KSpecInt2000/10^36 cm^2sec^-1)</t>
  </si>
  <si>
    <t>CPU: Skimming of Data (KSpecInt2000/10^36 cm^2sec^-1)</t>
  </si>
  <si>
    <t>CPU: Skimming of MonteCarlo(KSpecInt2000/10^36 cm^2sec^-1)</t>
  </si>
  <si>
    <t>CPU: Data Reconstruction (KHepSpec/10^36 cm^2sec^-1)</t>
  </si>
  <si>
    <t>CPU: MonteCarlo Production (KHepSpec/10^36 cm^2sec^-1)</t>
  </si>
  <si>
    <t>CPU: Skimming of Data (KHepSpec/10^36 cm^2sec^-1)</t>
  </si>
  <si>
    <t>CPU: Skimming of MonteCarlo(KHepSpec/10^36 cm^2sec^-1)</t>
  </si>
  <si>
    <t>Duration of reprocessing (month)</t>
  </si>
  <si>
    <t>Duration of reskimming (month)</t>
  </si>
  <si>
    <t>SuperB Parameters</t>
  </si>
  <si>
    <t>Computing Industry Assumptions</t>
  </si>
  <si>
    <t>Tape size (TB)</t>
  </si>
  <si>
    <t>Tapes per Silo</t>
  </si>
  <si>
    <t>Tapes/tape drive</t>
  </si>
  <si>
    <t>HepSpec conversion factor (1 KSi2K in KHepSpec)</t>
  </si>
  <si>
    <t>Luminosity (ist.:pb-1/s, int.: ab-1)</t>
  </si>
  <si>
    <t>Peak</t>
  </si>
  <si>
    <t>Integrated</t>
  </si>
  <si>
    <t>Per year</t>
  </si>
  <si>
    <t>Year (relative)</t>
  </si>
  <si>
    <t>SuperB Machine Performance</t>
  </si>
  <si>
    <t>Running days per month</t>
  </si>
  <si>
    <t>Running months per year</t>
  </si>
  <si>
    <t>Machine/Detector Uptime</t>
  </si>
  <si>
    <t>CPU: Phys. Analysis of data (KSpecInt2000/ab-1)</t>
  </si>
  <si>
    <t>CPU: Phys. Analysis of MonteCarlo (KSpecInt2000/ab-1)</t>
  </si>
  <si>
    <t>CPU: Phys. Analysis of data (KHepSpec/ab-1)</t>
  </si>
  <si>
    <t>CPU: Phys. Analysis of MonteCarlo (KHepSpec/ab-1)</t>
  </si>
  <si>
    <t>Start of Data Taking (year 0)</t>
  </si>
  <si>
    <t>Cost of a tape (kEuro)</t>
  </si>
  <si>
    <t>Cost of disk (kEuro/TB)</t>
  </si>
  <si>
    <t>Cost of CPU (kEuro/KHepSpec)</t>
  </si>
  <si>
    <t>Cost of CPU (kEuro/KSpecInt2K)</t>
  </si>
  <si>
    <t>Cost of a tape Silo (kEuro)</t>
  </si>
  <si>
    <t>Cost of a tape drive (kEuro)</t>
  </si>
  <si>
    <t>BaBar Baseline and Scaling to SuperB</t>
  </si>
  <si>
    <t>Scaling factors from BaBar to SuperB</t>
  </si>
  <si>
    <t>SuperB Estimates</t>
  </si>
  <si>
    <t>Luminosity</t>
  </si>
  <si>
    <t>A reskimming cycle (data and MC)</t>
  </si>
  <si>
    <t>Event Store Buffer (50% of n-2 reprocessing cycle)</t>
  </si>
  <si>
    <t>Storage (TB)</t>
  </si>
  <si>
    <t>MonteCarlo/Data Lumi Ratio</t>
  </si>
  <si>
    <t>Storage Total</t>
  </si>
  <si>
    <t>Disk Storage (net)</t>
  </si>
  <si>
    <t>Disk Storage Total (including technical reserve)</t>
  </si>
  <si>
    <t>Tape Storage Total</t>
  </si>
  <si>
    <t>CPU</t>
  </si>
  <si>
    <t>Physics Analysis of data</t>
  </si>
  <si>
    <t>Physics Analysis of MC</t>
  </si>
  <si>
    <t>Skimming of Data</t>
  </si>
  <si>
    <t>Skimming of MC</t>
  </si>
  <si>
    <t>Reprocessing of beam data (previous years)</t>
  </si>
  <si>
    <t>Regeneration of MC (Previous years)</t>
  </si>
  <si>
    <t>Reskimming of reprocessed data</t>
  </si>
  <si>
    <t>Reskimming of reprocessed MC</t>
  </si>
  <si>
    <t xml:space="preserve">Beam data reconstruction </t>
  </si>
  <si>
    <t xml:space="preserve">MonteCarlo generation and processing </t>
  </si>
  <si>
    <t>CPU Total</t>
  </si>
  <si>
    <t>CPU (kHEPSpec)</t>
  </si>
  <si>
    <t>Disk</t>
  </si>
  <si>
    <t>Tape Media</t>
  </si>
  <si>
    <t>Total</t>
  </si>
  <si>
    <t>Value  in 2011 kEuro</t>
  </si>
  <si>
    <t>Value (kEuro)  -- Year</t>
  </si>
  <si>
    <t>Tape</t>
  </si>
  <si>
    <t>Total:</t>
  </si>
  <si>
    <t>Replacement (4 years)</t>
  </si>
  <si>
    <t>Total [kEuro]</t>
  </si>
  <si>
    <t>CPU [kEuro]</t>
  </si>
  <si>
    <t>Tape Media [kEuro]</t>
  </si>
  <si>
    <t>Disk [kEuro]</t>
  </si>
  <si>
    <t>Grand Total:</t>
  </si>
  <si>
    <t>BaBar</t>
  </si>
  <si>
    <t>Purchase (without replacement) [kEuro] | Year</t>
  </si>
  <si>
    <t>Raw Data (integrated) [tape]</t>
  </si>
  <si>
    <t>One reprocessing cycle of micro&amp;mini (data and MC) [tape]</t>
  </si>
  <si>
    <t>MiniData (integrated) [tape+disk]</t>
  </si>
  <si>
    <t>Micro Data (integrated) [tape+disk]</t>
  </si>
  <si>
    <t>Micro MC (integrated) [tape+disk]</t>
  </si>
  <si>
    <t>Mini MC (integrated) [tape+disk]</t>
  </si>
  <si>
    <t>Skims (Data and MC, 1 year)) [disk]</t>
  </si>
  <si>
    <t>User Data [tape+disk]</t>
  </si>
  <si>
    <t>Production Buffer [disk]</t>
  </si>
  <si>
    <t>CC-IN2P3</t>
  </si>
  <si>
    <t>Raw data (integrated, TB)</t>
  </si>
  <si>
    <t>Corresponding cost per year (kEuro, purchase 1 year in advance)</t>
  </si>
  <si>
    <t>Fraction of the total:</t>
  </si>
  <si>
    <t>Replacement cost per year (kEuro)</t>
  </si>
  <si>
    <t>Disk storage total (integrated,TB)</t>
  </si>
  <si>
    <t>Tape storage total (integrated, TB, excluding raw data)</t>
  </si>
  <si>
    <t>CPU (kHEPspec)</t>
  </si>
  <si>
    <t>Raw data total cost (kEuro)</t>
  </si>
  <si>
    <t>Disk total cost (kEuro)</t>
  </si>
  <si>
    <t>Tape total cost (excluding raw data, kEuro)</t>
  </si>
  <si>
    <t>CPU total cost (kEuro)</t>
  </si>
  <si>
    <t>Total cost disk + tape (excluding raw data) + CPU (kEuro)</t>
  </si>
  <si>
    <t>Grand total (kEuro)</t>
  </si>
</sst>
</file>

<file path=xl/styles.xml><?xml version="1.0" encoding="utf-8"?>
<styleSheet xmlns="http://schemas.openxmlformats.org/spreadsheetml/2006/main"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18"/>
      <color rgb="FFFF0000"/>
      <name val="Calibri"/>
      <scheme val="minor"/>
    </font>
    <font>
      <b/>
      <sz val="18"/>
      <color theme="1"/>
      <name val="Calibri"/>
      <family val="2"/>
      <scheme val="minor"/>
    </font>
    <font>
      <b/>
      <sz val="14"/>
      <name val="Arial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scheme val="minor"/>
    </font>
    <font>
      <b/>
      <sz val="16"/>
      <color theme="1"/>
      <name val="Calibri"/>
      <scheme val="minor"/>
    </font>
    <font>
      <b/>
      <sz val="14"/>
      <color rgb="FFFF0000"/>
      <name val="Calibri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/>
    <xf numFmtId="0" fontId="0" fillId="0" borderId="0" xfId="1" applyFont="1"/>
    <xf numFmtId="9" fontId="2" fillId="0" borderId="0" xfId="1" applyNumberFormat="1"/>
    <xf numFmtId="10" fontId="2" fillId="0" borderId="0" xfId="1" applyNumberFormat="1"/>
    <xf numFmtId="0" fontId="2" fillId="0" borderId="0" xfId="1" applyNumberFormat="1"/>
    <xf numFmtId="2" fontId="2" fillId="0" borderId="0" xfId="1" applyNumberFormat="1"/>
    <xf numFmtId="2" fontId="0" fillId="0" borderId="0" xfId="0" applyNumberFormat="1"/>
    <xf numFmtId="0" fontId="8" fillId="0" borderId="0" xfId="0" applyFont="1"/>
    <xf numFmtId="0" fontId="1" fillId="0" borderId="0" xfId="0" applyFont="1"/>
    <xf numFmtId="0" fontId="9" fillId="0" borderId="0" xfId="0" applyFont="1"/>
    <xf numFmtId="0" fontId="2" fillId="0" borderId="0" xfId="1" applyFill="1"/>
    <xf numFmtId="3" fontId="0" fillId="0" borderId="0" xfId="0" applyNumberFormat="1"/>
    <xf numFmtId="0" fontId="10" fillId="0" borderId="0" xfId="0" applyFont="1"/>
    <xf numFmtId="0" fontId="11" fillId="0" borderId="0" xfId="1" applyFont="1" applyFill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" fillId="0" borderId="0" xfId="1" applyFont="1"/>
    <xf numFmtId="0" fontId="14" fillId="0" borderId="0" xfId="1" applyFont="1" applyFill="1"/>
    <xf numFmtId="0" fontId="15" fillId="0" borderId="0" xfId="0" applyFont="1"/>
    <xf numFmtId="1" fontId="15" fillId="0" borderId="0" xfId="0" applyNumberFormat="1" applyFont="1"/>
    <xf numFmtId="3" fontId="15" fillId="0" borderId="0" xfId="0" applyNumberFormat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NumberFormat="1" applyFont="1"/>
    <xf numFmtId="0" fontId="19" fillId="0" borderId="0" xfId="0" applyFont="1"/>
    <xf numFmtId="2" fontId="18" fillId="0" borderId="0" xfId="1" applyNumberFormat="1" applyFont="1"/>
    <xf numFmtId="1" fontId="0" fillId="0" borderId="0" xfId="0" applyNumberFormat="1"/>
    <xf numFmtId="0" fontId="20" fillId="0" borderId="0" xfId="0" applyFont="1"/>
    <xf numFmtId="0" fontId="21" fillId="0" borderId="0" xfId="0" applyFont="1"/>
    <xf numFmtId="1" fontId="1" fillId="0" borderId="0" xfId="0" applyNumberFormat="1" applyFont="1"/>
    <xf numFmtId="3" fontId="1" fillId="0" borderId="0" xfId="0" applyNumberFormat="1" applyFont="1"/>
    <xf numFmtId="9" fontId="20" fillId="0" borderId="0" xfId="0" applyNumberFormat="1" applyFont="1"/>
    <xf numFmtId="0" fontId="0" fillId="0" borderId="0" xfId="0" applyAlignment="1">
      <alignment horizontal="center"/>
    </xf>
  </cellXfs>
  <cellStyles count="104">
    <cellStyle name="Excel Built-in Normal" xfId="1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SBEstimates!$A$99</c:f>
              <c:strCache>
                <c:ptCount val="1"/>
                <c:pt idx="0">
                  <c:v>Grand total (kEuro)</c:v>
                </c:pt>
              </c:strCache>
            </c:strRef>
          </c:tx>
          <c:cat>
            <c:numRef>
              <c:f>SBEstimates!$D$78:$J$78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SBEstimates!$D$99:$J$99</c:f>
              <c:numCache>
                <c:formatCode>0</c:formatCode>
                <c:ptCount val="7"/>
                <c:pt idx="0">
                  <c:v>766.84358411233904</c:v>
                </c:pt>
                <c:pt idx="1">
                  <c:v>1335.6289545183656</c:v>
                </c:pt>
                <c:pt idx="2">
                  <c:v>1297.43638509124</c:v>
                </c:pt>
                <c:pt idx="3">
                  <c:v>1025.830123800102</c:v>
                </c:pt>
                <c:pt idx="4">
                  <c:v>943.51645281843412</c:v>
                </c:pt>
                <c:pt idx="5">
                  <c:v>718.31402899558884</c:v>
                </c:pt>
                <c:pt idx="6">
                  <c:v>523.2188851840292</c:v>
                </c:pt>
              </c:numCache>
            </c:numRef>
          </c:val>
        </c:ser>
        <c:axId val="93074944"/>
        <c:axId val="93076480"/>
      </c:barChart>
      <c:catAx>
        <c:axId val="93074944"/>
        <c:scaling>
          <c:orientation val="minMax"/>
        </c:scaling>
        <c:axPos val="b"/>
        <c:numFmt formatCode="0" sourceLinked="1"/>
        <c:tickLblPos val="nextTo"/>
        <c:crossAx val="93076480"/>
        <c:crosses val="autoZero"/>
        <c:auto val="1"/>
        <c:lblAlgn val="ctr"/>
        <c:lblOffset val="100"/>
      </c:catAx>
      <c:valAx>
        <c:axId val="93076480"/>
        <c:scaling>
          <c:orientation val="minMax"/>
        </c:scaling>
        <c:axPos val="l"/>
        <c:majorGridlines/>
        <c:numFmt formatCode="0" sourceLinked="1"/>
        <c:tickLblPos val="nextTo"/>
        <c:crossAx val="9307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100</xdr:row>
      <xdr:rowOff>9525</xdr:rowOff>
    </xdr:from>
    <xdr:to>
      <xdr:col>9</xdr:col>
      <xdr:colOff>409574</xdr:colOff>
      <xdr:row>116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A6" sqref="A6:K24"/>
    </sheetView>
  </sheetViews>
  <sheetFormatPr baseColWidth="10" defaultRowHeight="15.75"/>
  <cols>
    <col min="1" max="1" width="58.375" customWidth="1"/>
  </cols>
  <sheetData>
    <row r="1" spans="1:11">
      <c r="A1" s="1" t="s">
        <v>58</v>
      </c>
    </row>
    <row r="2" spans="1:11">
      <c r="A2" s="2"/>
    </row>
    <row r="3" spans="1:11">
      <c r="A3" s="2"/>
      <c r="D3" s="38" t="s">
        <v>59</v>
      </c>
      <c r="E3" s="38"/>
      <c r="F3" s="38"/>
      <c r="G3" s="38"/>
      <c r="H3" s="38"/>
      <c r="I3" s="38"/>
      <c r="J3" s="38"/>
    </row>
    <row r="4" spans="1:11">
      <c r="A4" s="2"/>
    </row>
    <row r="5" spans="1:11">
      <c r="A5" s="2" t="s">
        <v>0</v>
      </c>
    </row>
    <row r="6" spans="1:11" s="12" customFormat="1">
      <c r="A6" s="12" t="s">
        <v>1</v>
      </c>
      <c r="B6" s="12" t="s">
        <v>96</v>
      </c>
      <c r="D6" s="12">
        <f>SBPerf!D6</f>
        <v>2015</v>
      </c>
      <c r="E6" s="12">
        <f>SBPerf!E6</f>
        <v>2016</v>
      </c>
      <c r="F6" s="12">
        <f>SBPerf!F6</f>
        <v>2017</v>
      </c>
      <c r="G6" s="12">
        <f>SBPerf!G6</f>
        <v>2018</v>
      </c>
      <c r="H6" s="12">
        <f>SBPerf!H6</f>
        <v>2019</v>
      </c>
      <c r="I6" s="12">
        <f>SBPerf!I6</f>
        <v>2020</v>
      </c>
      <c r="J6" s="12">
        <f>SBPerf!J6</f>
        <v>2021</v>
      </c>
      <c r="K6" s="12">
        <f>SBPerf!K6</f>
        <v>2022</v>
      </c>
    </row>
    <row r="7" spans="1:11">
      <c r="A7" s="5"/>
      <c r="B7" s="5"/>
      <c r="C7" s="5"/>
      <c r="D7" s="5"/>
    </row>
    <row r="8" spans="1:11">
      <c r="A8" s="4" t="str">
        <f>SBParams!A11</f>
        <v>Size of Raw Data(TB/ab-1)</v>
      </c>
      <c r="B8" s="4">
        <v>875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</row>
    <row r="9" spans="1:11">
      <c r="A9" s="4" t="str">
        <f>SBParams!A12</f>
        <v>Micro Data Size(TB/ab-1)</v>
      </c>
      <c r="B9" s="4">
        <v>42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</row>
    <row r="10" spans="1:11">
      <c r="A10" s="4" t="str">
        <f>SBParams!A13</f>
        <v>Mini Data Size(TB/ab-1)</v>
      </c>
      <c r="B10" s="4">
        <v>80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</row>
    <row r="11" spans="1:11">
      <c r="A11" s="4" t="str">
        <f>SBParams!A14</f>
        <v>Micro MonteCarlo Size(TB/ab-1)</v>
      </c>
      <c r="B11" s="4">
        <v>51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</row>
    <row r="12" spans="1:11">
      <c r="A12" s="4" t="str">
        <f>SBParams!A15</f>
        <v>Mini MonteCarlo Size(TB/ab-1)</v>
      </c>
      <c r="B12" s="4">
        <v>78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</row>
    <row r="13" spans="1:11">
      <c r="A13" s="4" t="str">
        <f>SBParams!A16</f>
        <v>CPU: Phys. Analysis of data (KSpecInt2000/ab-1)</v>
      </c>
      <c r="B13" s="4">
        <v>1200</v>
      </c>
      <c r="D13">
        <v>3</v>
      </c>
      <c r="E13">
        <v>3</v>
      </c>
      <c r="F13">
        <v>3</v>
      </c>
      <c r="G13">
        <v>3</v>
      </c>
      <c r="H13">
        <v>3</v>
      </c>
      <c r="I13">
        <v>3</v>
      </c>
      <c r="J13">
        <v>3</v>
      </c>
      <c r="K13">
        <v>3</v>
      </c>
    </row>
    <row r="14" spans="1:11">
      <c r="A14" s="4" t="str">
        <f>SBParams!A17</f>
        <v>CPU: Phys. Analysis of MonteCarlo (KSpecInt2000/ab-1)</v>
      </c>
      <c r="B14" s="4">
        <v>1300</v>
      </c>
      <c r="D14">
        <v>3</v>
      </c>
      <c r="E14">
        <v>3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</row>
    <row r="15" spans="1:11">
      <c r="A15" s="4" t="str">
        <f>SBParams!A18</f>
        <v>CPU: Data Reconstruction (KSpecInt2000/10^36 cm^2sec^-1)</v>
      </c>
      <c r="B15" s="4">
        <v>22100</v>
      </c>
      <c r="D15">
        <v>3</v>
      </c>
      <c r="E15">
        <v>3</v>
      </c>
      <c r="F15">
        <v>3</v>
      </c>
      <c r="G15">
        <v>3</v>
      </c>
      <c r="H15">
        <v>3</v>
      </c>
      <c r="I15">
        <v>3</v>
      </c>
      <c r="J15">
        <v>3</v>
      </c>
      <c r="K15">
        <v>3</v>
      </c>
    </row>
    <row r="16" spans="1:11">
      <c r="A16" s="4" t="str">
        <f>SBParams!A19</f>
        <v>CPU: MonteCarlo Production (KSpecInt2000/10^36 cm^2sec^-1)</v>
      </c>
      <c r="B16" s="4">
        <v>70000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</row>
    <row r="17" spans="1:11">
      <c r="A17" s="4" t="str">
        <f>SBParams!A20</f>
        <v>CPU: Skimming of Data (KSpecInt2000/10^36 cm^2sec^-1)</v>
      </c>
      <c r="B17" s="4">
        <v>10200</v>
      </c>
      <c r="D17">
        <v>3</v>
      </c>
      <c r="E17">
        <v>3</v>
      </c>
      <c r="F17">
        <v>3</v>
      </c>
      <c r="G17">
        <v>3</v>
      </c>
      <c r="H17">
        <v>3</v>
      </c>
      <c r="I17">
        <v>3</v>
      </c>
      <c r="J17">
        <v>3</v>
      </c>
      <c r="K17">
        <v>3</v>
      </c>
    </row>
    <row r="18" spans="1:11">
      <c r="A18" s="4" t="str">
        <f>SBParams!A21</f>
        <v>CPU: Skimming of MonteCarlo(KSpecInt2000/10^36 cm^2sec^-1)</v>
      </c>
      <c r="B18" s="4">
        <v>10000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</row>
    <row r="19" spans="1:11">
      <c r="A19" s="4" t="str">
        <f>SBParams!A22</f>
        <v>CPU: Phys. Analysis of data (KHepSpec/ab-1)</v>
      </c>
      <c r="B19" s="8">
        <f>B13*Industry!$B$3</f>
        <v>4.8</v>
      </c>
      <c r="D19">
        <v>3</v>
      </c>
      <c r="E19">
        <v>3</v>
      </c>
      <c r="F19">
        <v>3</v>
      </c>
      <c r="G19">
        <v>3</v>
      </c>
      <c r="H19">
        <v>3</v>
      </c>
      <c r="I19">
        <v>3</v>
      </c>
      <c r="J19">
        <v>3</v>
      </c>
      <c r="K19">
        <v>3</v>
      </c>
    </row>
    <row r="20" spans="1:11">
      <c r="A20" s="4" t="str">
        <f>SBParams!A23</f>
        <v>CPU: Phys. Analysis of MonteCarlo (KHepSpec/ab-1)</v>
      </c>
      <c r="B20" s="8">
        <f>B14*Industry!$B$3</f>
        <v>5.2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</row>
    <row r="21" spans="1:11">
      <c r="A21" s="4" t="str">
        <f>SBParams!A24</f>
        <v>CPU: Data Reconstruction (KHepSpec/10^36 cm^2sec^-1)</v>
      </c>
      <c r="B21" s="8">
        <f>B15*Industry!$B$3</f>
        <v>88.4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</row>
    <row r="22" spans="1:11">
      <c r="A22" s="4" t="str">
        <f>SBParams!A25</f>
        <v>CPU: MonteCarlo Production (KHepSpec/10^36 cm^2sec^-1)</v>
      </c>
      <c r="B22" s="8">
        <f>B16*Industry!$B$3</f>
        <v>280</v>
      </c>
      <c r="D22">
        <v>3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</row>
    <row r="23" spans="1:11">
      <c r="A23" s="4" t="str">
        <f>SBParams!A26</f>
        <v>CPU: Skimming of Data (KHepSpec/10^36 cm^2sec^-1)</v>
      </c>
      <c r="B23" s="8">
        <f>B17*Industry!$B$3</f>
        <v>40.800000000000004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</row>
    <row r="24" spans="1:11">
      <c r="A24" s="4" t="str">
        <f>SBParams!A27</f>
        <v>CPU: Skimming of MonteCarlo(KHepSpec/10^36 cm^2sec^-1)</v>
      </c>
      <c r="B24" s="8">
        <f>B18*Industry!$B$3</f>
        <v>40</v>
      </c>
      <c r="D24">
        <v>3</v>
      </c>
      <c r="E24">
        <v>3</v>
      </c>
      <c r="F24">
        <v>3</v>
      </c>
      <c r="G24">
        <v>3</v>
      </c>
      <c r="H24">
        <v>3</v>
      </c>
      <c r="I24">
        <v>3</v>
      </c>
      <c r="J24">
        <v>3</v>
      </c>
      <c r="K24">
        <v>3</v>
      </c>
    </row>
  </sheetData>
  <mergeCells count="1">
    <mergeCell ref="D3:J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K40" sqref="K40"/>
    </sheetView>
  </sheetViews>
  <sheetFormatPr baseColWidth="10" defaultRowHeight="15.75"/>
  <cols>
    <col min="1" max="1" width="52.875" customWidth="1"/>
    <col min="2" max="2" width="0.375" customWidth="1"/>
    <col min="3" max="3" width="0.5" customWidth="1"/>
  </cols>
  <sheetData>
    <row r="1" spans="1:11">
      <c r="A1" t="s">
        <v>32</v>
      </c>
    </row>
    <row r="6" spans="1:11">
      <c r="A6" t="s">
        <v>1</v>
      </c>
      <c r="D6">
        <f>SBPerf!D6</f>
        <v>2015</v>
      </c>
      <c r="E6">
        <f>SBPerf!E6</f>
        <v>2016</v>
      </c>
      <c r="F6">
        <f>SBPerf!F6</f>
        <v>2017</v>
      </c>
      <c r="G6">
        <f>SBPerf!G6</f>
        <v>2018</v>
      </c>
      <c r="H6">
        <f>SBPerf!H6</f>
        <v>2019</v>
      </c>
      <c r="I6">
        <f>SBPerf!I6</f>
        <v>2020</v>
      </c>
      <c r="J6">
        <f>SBPerf!J6</f>
        <v>2021</v>
      </c>
      <c r="K6">
        <f>SBPerf!K6</f>
        <v>2022</v>
      </c>
    </row>
    <row r="11" spans="1:11">
      <c r="A11" s="4" t="s">
        <v>2</v>
      </c>
      <c r="D11">
        <f>BaBar!$B8*BaBar!D8</f>
        <v>2625</v>
      </c>
      <c r="E11">
        <f>BaBar!$B8*BaBar!E8</f>
        <v>2625</v>
      </c>
      <c r="F11">
        <f>BaBar!$B8*BaBar!F8</f>
        <v>2625</v>
      </c>
      <c r="G11">
        <f>BaBar!$B8*BaBar!G8</f>
        <v>2625</v>
      </c>
      <c r="H11">
        <f>BaBar!$B8*BaBar!H8</f>
        <v>2625</v>
      </c>
      <c r="I11">
        <f>BaBar!$B8*BaBar!I8</f>
        <v>2625</v>
      </c>
      <c r="J11">
        <f>BaBar!$B8*BaBar!J8</f>
        <v>2625</v>
      </c>
      <c r="K11">
        <f>BaBar!$B8*BaBar!K8</f>
        <v>2625</v>
      </c>
    </row>
    <row r="12" spans="1:11">
      <c r="A12" s="4" t="s">
        <v>3</v>
      </c>
      <c r="D12">
        <f>BaBar!$B9*BaBar!D9</f>
        <v>84</v>
      </c>
      <c r="E12">
        <f>BaBar!$B9*BaBar!E9</f>
        <v>84</v>
      </c>
      <c r="F12">
        <f>BaBar!$B9*BaBar!F9</f>
        <v>84</v>
      </c>
      <c r="G12">
        <f>BaBar!$B9*BaBar!G9</f>
        <v>84</v>
      </c>
      <c r="H12">
        <f>BaBar!$B9*BaBar!H9</f>
        <v>84</v>
      </c>
      <c r="I12">
        <f>BaBar!$B9*BaBar!I9</f>
        <v>84</v>
      </c>
      <c r="J12">
        <f>BaBar!$B9*BaBar!J9</f>
        <v>84</v>
      </c>
      <c r="K12">
        <f>BaBar!$B9*BaBar!K9</f>
        <v>84</v>
      </c>
    </row>
    <row r="13" spans="1:11">
      <c r="A13" s="4" t="s">
        <v>4</v>
      </c>
      <c r="D13">
        <f>BaBar!$B10*BaBar!D10</f>
        <v>160</v>
      </c>
      <c r="E13">
        <f>BaBar!$B10*BaBar!E10</f>
        <v>160</v>
      </c>
      <c r="F13">
        <f>BaBar!$B10*BaBar!F10</f>
        <v>160</v>
      </c>
      <c r="G13">
        <f>BaBar!$B10*BaBar!G10</f>
        <v>160</v>
      </c>
      <c r="H13">
        <f>BaBar!$B10*BaBar!H10</f>
        <v>160</v>
      </c>
      <c r="I13">
        <f>BaBar!$B10*BaBar!I10</f>
        <v>160</v>
      </c>
      <c r="J13">
        <f>BaBar!$B10*BaBar!J10</f>
        <v>160</v>
      </c>
      <c r="K13">
        <f>BaBar!$B10*BaBar!K10</f>
        <v>160</v>
      </c>
    </row>
    <row r="14" spans="1:11">
      <c r="A14" s="4" t="s">
        <v>5</v>
      </c>
      <c r="D14">
        <f>BaBar!$B11*BaBar!D11</f>
        <v>102</v>
      </c>
      <c r="E14">
        <f>BaBar!$B11*BaBar!E11</f>
        <v>102</v>
      </c>
      <c r="F14">
        <f>BaBar!$B11*BaBar!F11</f>
        <v>102</v>
      </c>
      <c r="G14">
        <f>BaBar!$B11*BaBar!G11</f>
        <v>102</v>
      </c>
      <c r="H14">
        <f>BaBar!$B11*BaBar!H11</f>
        <v>102</v>
      </c>
      <c r="I14">
        <f>BaBar!$B11*BaBar!I11</f>
        <v>102</v>
      </c>
      <c r="J14">
        <f>BaBar!$B11*BaBar!J11</f>
        <v>102</v>
      </c>
      <c r="K14">
        <f>BaBar!$B11*BaBar!K11</f>
        <v>102</v>
      </c>
    </row>
    <row r="15" spans="1:11">
      <c r="A15" s="4" t="s">
        <v>6</v>
      </c>
      <c r="D15">
        <f>BaBar!$B12*BaBar!D12</f>
        <v>156</v>
      </c>
      <c r="E15">
        <f>BaBar!$B12*BaBar!E12</f>
        <v>156</v>
      </c>
      <c r="F15">
        <f>BaBar!$B12*BaBar!F12</f>
        <v>156</v>
      </c>
      <c r="G15">
        <f>BaBar!$B12*BaBar!G12</f>
        <v>156</v>
      </c>
      <c r="H15">
        <f>BaBar!$B12*BaBar!H12</f>
        <v>156</v>
      </c>
      <c r="I15">
        <f>BaBar!$B12*BaBar!I12</f>
        <v>156</v>
      </c>
      <c r="J15">
        <f>BaBar!$B12*BaBar!J12</f>
        <v>156</v>
      </c>
      <c r="K15">
        <f>BaBar!$B12*BaBar!K12</f>
        <v>156</v>
      </c>
    </row>
    <row r="16" spans="1:11">
      <c r="A16" s="4" t="s">
        <v>47</v>
      </c>
      <c r="D16">
        <f>BaBar!$B13*BaBar!D13</f>
        <v>3600</v>
      </c>
      <c r="E16">
        <f>BaBar!$B13*BaBar!E13</f>
        <v>3600</v>
      </c>
      <c r="F16">
        <f>BaBar!$B13*BaBar!F13</f>
        <v>3600</v>
      </c>
      <c r="G16">
        <f>BaBar!$B13*BaBar!G13</f>
        <v>3600</v>
      </c>
      <c r="H16">
        <f>BaBar!$B13*BaBar!H13</f>
        <v>3600</v>
      </c>
      <c r="I16">
        <f>BaBar!$B13*BaBar!I13</f>
        <v>3600</v>
      </c>
      <c r="J16">
        <f>BaBar!$B13*BaBar!J13</f>
        <v>3600</v>
      </c>
      <c r="K16">
        <f>BaBar!$B13*BaBar!K13</f>
        <v>3600</v>
      </c>
    </row>
    <row r="17" spans="1:11">
      <c r="A17" s="4" t="s">
        <v>48</v>
      </c>
      <c r="D17">
        <f>BaBar!$B14*BaBar!D14</f>
        <v>3900</v>
      </c>
      <c r="E17">
        <f>BaBar!$B14*BaBar!E14</f>
        <v>3900</v>
      </c>
      <c r="F17">
        <f>BaBar!$B14*BaBar!F14</f>
        <v>3900</v>
      </c>
      <c r="G17">
        <f>BaBar!$B14*BaBar!G14</f>
        <v>3900</v>
      </c>
      <c r="H17">
        <f>BaBar!$B14*BaBar!H14</f>
        <v>3900</v>
      </c>
      <c r="I17">
        <f>BaBar!$B14*BaBar!I14</f>
        <v>3900</v>
      </c>
      <c r="J17">
        <f>BaBar!$B14*BaBar!J14</f>
        <v>3900</v>
      </c>
      <c r="K17">
        <f>BaBar!$B14*BaBar!K14</f>
        <v>3900</v>
      </c>
    </row>
    <row r="18" spans="1:11">
      <c r="A18" s="4" t="s">
        <v>22</v>
      </c>
      <c r="D18">
        <f>BaBar!$B15*BaBar!D15</f>
        <v>66300</v>
      </c>
      <c r="E18">
        <f>BaBar!$B15*BaBar!E15</f>
        <v>66300</v>
      </c>
      <c r="F18">
        <f>BaBar!$B15*BaBar!F15</f>
        <v>66300</v>
      </c>
      <c r="G18">
        <f>BaBar!$B15*BaBar!G15</f>
        <v>66300</v>
      </c>
      <c r="H18">
        <f>BaBar!$B15*BaBar!H15</f>
        <v>66300</v>
      </c>
      <c r="I18">
        <f>BaBar!$B15*BaBar!I15</f>
        <v>66300</v>
      </c>
      <c r="J18">
        <f>BaBar!$B15*BaBar!J15</f>
        <v>66300</v>
      </c>
      <c r="K18">
        <f>BaBar!$B15*BaBar!K15</f>
        <v>66300</v>
      </c>
    </row>
    <row r="19" spans="1:11">
      <c r="A19" s="4" t="s">
        <v>23</v>
      </c>
      <c r="D19">
        <f>BaBar!$B16*BaBar!D16</f>
        <v>210000</v>
      </c>
      <c r="E19">
        <f>BaBar!$B16*BaBar!E16</f>
        <v>210000</v>
      </c>
      <c r="F19">
        <f>BaBar!$B16*BaBar!F16</f>
        <v>210000</v>
      </c>
      <c r="G19">
        <f>BaBar!$B16*BaBar!G16</f>
        <v>210000</v>
      </c>
      <c r="H19">
        <f>BaBar!$B16*BaBar!H16</f>
        <v>210000</v>
      </c>
      <c r="I19">
        <f>BaBar!$B16*BaBar!I16</f>
        <v>210000</v>
      </c>
      <c r="J19">
        <f>BaBar!$B16*BaBar!J16</f>
        <v>210000</v>
      </c>
      <c r="K19">
        <f>BaBar!$B16*BaBar!K16</f>
        <v>210000</v>
      </c>
    </row>
    <row r="20" spans="1:11">
      <c r="A20" s="4" t="s">
        <v>24</v>
      </c>
      <c r="D20">
        <f>BaBar!$B17*BaBar!D17</f>
        <v>30600</v>
      </c>
      <c r="E20">
        <f>BaBar!$B17*BaBar!E17</f>
        <v>30600</v>
      </c>
      <c r="F20">
        <f>BaBar!$B17*BaBar!F17</f>
        <v>30600</v>
      </c>
      <c r="G20">
        <f>BaBar!$B17*BaBar!G17</f>
        <v>30600</v>
      </c>
      <c r="H20">
        <f>BaBar!$B17*BaBar!H17</f>
        <v>30600</v>
      </c>
      <c r="I20">
        <f>BaBar!$B17*BaBar!I17</f>
        <v>30600</v>
      </c>
      <c r="J20">
        <f>BaBar!$B17*BaBar!J17</f>
        <v>30600</v>
      </c>
      <c r="K20">
        <f>BaBar!$B17*BaBar!K17</f>
        <v>30600</v>
      </c>
    </row>
    <row r="21" spans="1:11">
      <c r="A21" s="4" t="s">
        <v>25</v>
      </c>
      <c r="D21">
        <f>BaBar!$B18*BaBar!D18</f>
        <v>30000</v>
      </c>
      <c r="E21">
        <f>BaBar!$B18*BaBar!E18</f>
        <v>30000</v>
      </c>
      <c r="F21">
        <f>BaBar!$B18*BaBar!F18</f>
        <v>30000</v>
      </c>
      <c r="G21">
        <f>BaBar!$B18*BaBar!G18</f>
        <v>30000</v>
      </c>
      <c r="H21">
        <f>BaBar!$B18*BaBar!H18</f>
        <v>30000</v>
      </c>
      <c r="I21">
        <f>BaBar!$B18*BaBar!I18</f>
        <v>30000</v>
      </c>
      <c r="J21">
        <f>BaBar!$B18*BaBar!J18</f>
        <v>30000</v>
      </c>
      <c r="K21">
        <f>BaBar!$B18*BaBar!K18</f>
        <v>30000</v>
      </c>
    </row>
    <row r="22" spans="1:11">
      <c r="A22" s="4" t="s">
        <v>49</v>
      </c>
      <c r="D22">
        <f>BaBar!$B19*BaBar!D19</f>
        <v>14.399999999999999</v>
      </c>
      <c r="E22">
        <f>BaBar!$B19*BaBar!E19</f>
        <v>14.399999999999999</v>
      </c>
      <c r="F22">
        <f>BaBar!$B19*BaBar!F19</f>
        <v>14.399999999999999</v>
      </c>
      <c r="G22">
        <f>BaBar!$B19*BaBar!G19</f>
        <v>14.399999999999999</v>
      </c>
      <c r="H22">
        <f>BaBar!$B19*BaBar!H19</f>
        <v>14.399999999999999</v>
      </c>
      <c r="I22">
        <f>BaBar!$B19*BaBar!I19</f>
        <v>14.399999999999999</v>
      </c>
      <c r="J22">
        <f>BaBar!$B19*BaBar!J19</f>
        <v>14.399999999999999</v>
      </c>
      <c r="K22">
        <f>BaBar!$B19*BaBar!K19</f>
        <v>14.399999999999999</v>
      </c>
    </row>
    <row r="23" spans="1:11">
      <c r="A23" s="4" t="s">
        <v>50</v>
      </c>
      <c r="D23">
        <f>BaBar!$B20*BaBar!D20</f>
        <v>15.600000000000001</v>
      </c>
      <c r="E23">
        <f>BaBar!$B20*BaBar!E20</f>
        <v>15.600000000000001</v>
      </c>
      <c r="F23">
        <f>BaBar!$B20*BaBar!F20</f>
        <v>15.600000000000001</v>
      </c>
      <c r="G23">
        <f>BaBar!$B20*BaBar!G20</f>
        <v>15.600000000000001</v>
      </c>
      <c r="H23">
        <f>BaBar!$B20*BaBar!H20</f>
        <v>15.600000000000001</v>
      </c>
      <c r="I23">
        <f>BaBar!$B20*BaBar!I20</f>
        <v>15.600000000000001</v>
      </c>
      <c r="J23">
        <f>BaBar!$B20*BaBar!J20</f>
        <v>15.600000000000001</v>
      </c>
      <c r="K23">
        <f>BaBar!$B20*BaBar!K20</f>
        <v>15.600000000000001</v>
      </c>
    </row>
    <row r="24" spans="1:11">
      <c r="A24" s="4" t="s">
        <v>26</v>
      </c>
      <c r="D24">
        <f>BaBar!$B21*BaBar!D21</f>
        <v>265.20000000000005</v>
      </c>
      <c r="E24">
        <f>BaBar!$B21*BaBar!E21</f>
        <v>265.20000000000005</v>
      </c>
      <c r="F24">
        <f>BaBar!$B21*BaBar!F21</f>
        <v>265.20000000000005</v>
      </c>
      <c r="G24">
        <f>BaBar!$B21*BaBar!G21</f>
        <v>265.20000000000005</v>
      </c>
      <c r="H24">
        <f>BaBar!$B21*BaBar!H21</f>
        <v>265.20000000000005</v>
      </c>
      <c r="I24">
        <f>BaBar!$B21*BaBar!I21</f>
        <v>265.20000000000005</v>
      </c>
      <c r="J24">
        <f>BaBar!$B21*BaBar!J21</f>
        <v>265.20000000000005</v>
      </c>
      <c r="K24">
        <f>BaBar!$B21*BaBar!K21</f>
        <v>265.20000000000005</v>
      </c>
    </row>
    <row r="25" spans="1:11">
      <c r="A25" s="4" t="s">
        <v>27</v>
      </c>
      <c r="D25">
        <f>BaBar!$B22*BaBar!D22</f>
        <v>840</v>
      </c>
      <c r="E25">
        <f>BaBar!$B22*BaBar!E22</f>
        <v>840</v>
      </c>
      <c r="F25">
        <f>BaBar!$B22*BaBar!F22</f>
        <v>840</v>
      </c>
      <c r="G25">
        <f>BaBar!$B22*BaBar!G22</f>
        <v>840</v>
      </c>
      <c r="H25">
        <f>BaBar!$B22*BaBar!H22</f>
        <v>840</v>
      </c>
      <c r="I25">
        <f>BaBar!$B22*BaBar!I22</f>
        <v>840</v>
      </c>
      <c r="J25">
        <f>BaBar!$B22*BaBar!J22</f>
        <v>840</v>
      </c>
      <c r="K25">
        <f>BaBar!$B22*BaBar!K22</f>
        <v>840</v>
      </c>
    </row>
    <row r="26" spans="1:11">
      <c r="A26" s="4" t="s">
        <v>28</v>
      </c>
      <c r="D26">
        <f>BaBar!$B23*BaBar!D23</f>
        <v>122.4</v>
      </c>
      <c r="E26">
        <f>BaBar!$B23*BaBar!E23</f>
        <v>122.4</v>
      </c>
      <c r="F26">
        <f>BaBar!$B23*BaBar!F23</f>
        <v>122.4</v>
      </c>
      <c r="G26">
        <f>BaBar!$B23*BaBar!G23</f>
        <v>122.4</v>
      </c>
      <c r="H26">
        <f>BaBar!$B23*BaBar!H23</f>
        <v>122.4</v>
      </c>
      <c r="I26">
        <f>BaBar!$B23*BaBar!I23</f>
        <v>122.4</v>
      </c>
      <c r="J26">
        <f>BaBar!$B23*BaBar!J23</f>
        <v>122.4</v>
      </c>
      <c r="K26">
        <f>BaBar!$B23*BaBar!K23</f>
        <v>122.4</v>
      </c>
    </row>
    <row r="27" spans="1:11">
      <c r="A27" s="4" t="s">
        <v>29</v>
      </c>
      <c r="D27">
        <f>BaBar!$B24*BaBar!D24</f>
        <v>120</v>
      </c>
      <c r="E27">
        <f>BaBar!$B24*BaBar!E24</f>
        <v>120</v>
      </c>
      <c r="F27">
        <f>BaBar!$B24*BaBar!F24</f>
        <v>120</v>
      </c>
      <c r="G27">
        <f>BaBar!$B24*BaBar!G24</f>
        <v>120</v>
      </c>
      <c r="H27">
        <f>BaBar!$B24*BaBar!H24</f>
        <v>120</v>
      </c>
      <c r="I27">
        <f>BaBar!$B24*BaBar!I24</f>
        <v>120</v>
      </c>
      <c r="J27">
        <f>BaBar!$B24*BaBar!J24</f>
        <v>120</v>
      </c>
      <c r="K27">
        <f>BaBar!$B24*BaBar!K24</f>
        <v>120</v>
      </c>
    </row>
    <row r="28" spans="1:11">
      <c r="A28" s="4" t="s">
        <v>7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</row>
    <row r="29" spans="1:11">
      <c r="A29" s="4" t="s">
        <v>8</v>
      </c>
      <c r="D29" s="4">
        <v>4</v>
      </c>
      <c r="E29" s="4">
        <v>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</row>
    <row r="30" spans="1:11">
      <c r="A30" s="4" t="s">
        <v>9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</row>
    <row r="31" spans="1:11">
      <c r="A31" s="4" t="s">
        <v>10</v>
      </c>
      <c r="D31" s="4">
        <v>4</v>
      </c>
      <c r="E31" s="4">
        <v>4</v>
      </c>
      <c r="F31" s="4">
        <v>4</v>
      </c>
      <c r="G31" s="4">
        <v>4</v>
      </c>
      <c r="H31" s="4">
        <v>4</v>
      </c>
      <c r="I31" s="4">
        <v>4</v>
      </c>
      <c r="J31" s="4">
        <v>4</v>
      </c>
      <c r="K31" s="4">
        <v>4</v>
      </c>
    </row>
    <row r="32" spans="1:11">
      <c r="A32" s="4" t="s">
        <v>11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</row>
    <row r="33" spans="1:11">
      <c r="A33" s="4" t="s">
        <v>12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>
        <v>5</v>
      </c>
      <c r="K33" s="4">
        <v>5</v>
      </c>
    </row>
    <row r="34" spans="1:11">
      <c r="A34" s="4" t="s">
        <v>13</v>
      </c>
      <c r="D34" s="6">
        <v>0.30000000000000004</v>
      </c>
      <c r="E34" s="6">
        <v>0.30000000000000004</v>
      </c>
      <c r="F34" s="6">
        <v>0.30000000000000004</v>
      </c>
      <c r="G34" s="6">
        <v>0.30000000000000004</v>
      </c>
      <c r="H34" s="6">
        <v>0.30000000000000004</v>
      </c>
      <c r="I34" s="6">
        <v>0.30000000000000004</v>
      </c>
      <c r="J34" s="6">
        <v>0.30000000000000004</v>
      </c>
      <c r="K34" s="6">
        <v>0.30000000000000004</v>
      </c>
    </row>
    <row r="35" spans="1:11">
      <c r="A35" s="4" t="s">
        <v>14</v>
      </c>
      <c r="D35" s="6">
        <v>0.2</v>
      </c>
      <c r="E35" s="6">
        <v>0.2</v>
      </c>
      <c r="F35" s="6">
        <v>0.2</v>
      </c>
      <c r="G35" s="6">
        <v>0.2</v>
      </c>
      <c r="H35" s="6">
        <v>0.2</v>
      </c>
      <c r="I35" s="6">
        <v>0.2</v>
      </c>
      <c r="J35" s="6">
        <v>0.2</v>
      </c>
      <c r="K35" s="6">
        <v>0.2</v>
      </c>
    </row>
    <row r="36" spans="1:11">
      <c r="A36" s="4" t="s">
        <v>15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</row>
    <row r="37" spans="1:11">
      <c r="A37" s="4" t="s">
        <v>16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</row>
    <row r="38" spans="1:11">
      <c r="A38" s="4" t="s">
        <v>17</v>
      </c>
      <c r="D38" s="4">
        <v>1</v>
      </c>
      <c r="E38" s="4">
        <v>1</v>
      </c>
      <c r="F38" s="4">
        <v>1</v>
      </c>
      <c r="G38" s="4">
        <v>0.5</v>
      </c>
      <c r="H38" s="4">
        <v>0.5</v>
      </c>
      <c r="I38" s="4">
        <v>0.1</v>
      </c>
      <c r="J38" s="4">
        <v>0.1</v>
      </c>
      <c r="K38" s="4">
        <v>0.1</v>
      </c>
    </row>
    <row r="39" spans="1:11">
      <c r="A39" s="4" t="s">
        <v>18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</row>
    <row r="40" spans="1:11">
      <c r="A40" s="4" t="s">
        <v>19</v>
      </c>
      <c r="D40" s="4">
        <v>1</v>
      </c>
      <c r="E40" s="4">
        <v>1</v>
      </c>
      <c r="F40" s="4">
        <v>1</v>
      </c>
      <c r="G40" s="4">
        <v>0.5</v>
      </c>
      <c r="H40" s="4">
        <v>0.5</v>
      </c>
      <c r="I40" s="4">
        <v>0.1</v>
      </c>
      <c r="J40" s="4">
        <v>0.1</v>
      </c>
      <c r="K40" s="4">
        <v>0.1</v>
      </c>
    </row>
    <row r="41" spans="1:11">
      <c r="A41" s="4" t="s">
        <v>20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</row>
    <row r="42" spans="1:11">
      <c r="A42" s="4" t="s">
        <v>21</v>
      </c>
      <c r="D42" s="7">
        <v>0.15</v>
      </c>
      <c r="E42" s="7">
        <v>0.15</v>
      </c>
      <c r="F42" s="7">
        <v>0.15</v>
      </c>
      <c r="G42" s="7">
        <v>0.15</v>
      </c>
      <c r="H42" s="7">
        <v>0.15</v>
      </c>
      <c r="I42" s="7">
        <v>0.15</v>
      </c>
      <c r="J42" s="7">
        <v>0.15</v>
      </c>
      <c r="K42" s="7">
        <v>0.15</v>
      </c>
    </row>
    <row r="43" spans="1:11">
      <c r="A43" s="4" t="s">
        <v>30</v>
      </c>
      <c r="D43" s="4">
        <v>9</v>
      </c>
      <c r="E43" s="4">
        <v>9</v>
      </c>
      <c r="F43" s="4">
        <v>9</v>
      </c>
      <c r="G43" s="4">
        <v>9</v>
      </c>
      <c r="H43" s="4">
        <v>9</v>
      </c>
      <c r="I43" s="4">
        <v>9</v>
      </c>
      <c r="J43" s="4">
        <v>9</v>
      </c>
      <c r="K43" s="4">
        <v>9</v>
      </c>
    </row>
    <row r="44" spans="1:11">
      <c r="A44" s="4" t="s">
        <v>31</v>
      </c>
      <c r="D44" s="4">
        <v>6</v>
      </c>
      <c r="E44" s="4">
        <v>6</v>
      </c>
      <c r="F44" s="4">
        <v>6</v>
      </c>
      <c r="G44" s="4">
        <v>6</v>
      </c>
      <c r="H44" s="4">
        <v>6</v>
      </c>
      <c r="I44" s="4">
        <v>6</v>
      </c>
      <c r="J44" s="4">
        <v>6</v>
      </c>
      <c r="K44" s="4">
        <v>6</v>
      </c>
    </row>
    <row r="45" spans="1:11">
      <c r="A45" s="14" t="s">
        <v>65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1</v>
      </c>
      <c r="J45" s="14">
        <v>1</v>
      </c>
      <c r="K45" s="14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12" sqref="A12:K15"/>
    </sheetView>
  </sheetViews>
  <sheetFormatPr baseColWidth="10" defaultRowHeight="15.75"/>
  <cols>
    <col min="1" max="1" width="34.625" customWidth="1"/>
  </cols>
  <sheetData>
    <row r="1" spans="1:11" ht="23.25">
      <c r="A1" s="13" t="s">
        <v>43</v>
      </c>
    </row>
    <row r="3" spans="1:11">
      <c r="A3" t="s">
        <v>51</v>
      </c>
      <c r="B3">
        <v>2016</v>
      </c>
    </row>
    <row r="5" spans="1:11">
      <c r="A5" t="s">
        <v>42</v>
      </c>
      <c r="D5">
        <v>-1</v>
      </c>
      <c r="E5">
        <v>0</v>
      </c>
      <c r="F5">
        <v>1</v>
      </c>
      <c r="G5">
        <v>2</v>
      </c>
      <c r="H5">
        <v>3</v>
      </c>
      <c r="I5">
        <v>4</v>
      </c>
      <c r="J5">
        <v>5</v>
      </c>
      <c r="K5">
        <v>6</v>
      </c>
    </row>
    <row r="6" spans="1:11">
      <c r="A6" s="12" t="s">
        <v>1</v>
      </c>
      <c r="B6" s="12"/>
      <c r="C6" s="12"/>
      <c r="D6" s="12">
        <f>D5+$B$3</f>
        <v>2015</v>
      </c>
      <c r="E6" s="12">
        <f t="shared" ref="E6:K6" si="0">E5+$B$3</f>
        <v>2016</v>
      </c>
      <c r="F6" s="12">
        <f t="shared" si="0"/>
        <v>2017</v>
      </c>
      <c r="G6" s="12">
        <f t="shared" si="0"/>
        <v>2018</v>
      </c>
      <c r="H6" s="12">
        <f t="shared" si="0"/>
        <v>2019</v>
      </c>
      <c r="I6" s="12">
        <f t="shared" si="0"/>
        <v>2020</v>
      </c>
      <c r="J6" s="12">
        <f t="shared" si="0"/>
        <v>2021</v>
      </c>
      <c r="K6" s="12">
        <f t="shared" si="0"/>
        <v>2022</v>
      </c>
    </row>
    <row r="8" spans="1:11">
      <c r="A8" s="11" t="s">
        <v>46</v>
      </c>
    </row>
    <row r="9" spans="1:11">
      <c r="A9" t="s">
        <v>44</v>
      </c>
      <c r="D9" s="4">
        <v>19.3</v>
      </c>
      <c r="E9" s="4">
        <v>19.3</v>
      </c>
      <c r="F9" s="4">
        <v>19.3</v>
      </c>
      <c r="G9" s="4">
        <v>19.3</v>
      </c>
      <c r="H9" s="4">
        <v>19.3</v>
      </c>
      <c r="I9" s="4">
        <v>19.3</v>
      </c>
      <c r="J9" s="4">
        <v>19.3</v>
      </c>
      <c r="K9" s="4">
        <v>19.3</v>
      </c>
    </row>
    <row r="10" spans="1:11">
      <c r="A10" t="s">
        <v>45</v>
      </c>
      <c r="D10" s="4">
        <v>9</v>
      </c>
      <c r="E10" s="4">
        <v>9</v>
      </c>
      <c r="F10" s="4">
        <v>9</v>
      </c>
      <c r="G10" s="4">
        <v>9</v>
      </c>
      <c r="H10" s="4">
        <v>9</v>
      </c>
      <c r="I10" s="4">
        <v>9</v>
      </c>
      <c r="J10" s="4">
        <v>9</v>
      </c>
      <c r="K10" s="4">
        <v>9</v>
      </c>
    </row>
    <row r="12" spans="1:11" s="30" customFormat="1" ht="18.75">
      <c r="A12" s="26" t="s">
        <v>38</v>
      </c>
      <c r="B12" s="27"/>
      <c r="C12" s="27"/>
      <c r="D12" s="28"/>
      <c r="E12" s="29"/>
      <c r="F12" s="29"/>
      <c r="G12" s="29"/>
      <c r="H12" s="29"/>
      <c r="I12" s="29"/>
      <c r="J12" s="29"/>
    </row>
    <row r="13" spans="1:11" s="30" customFormat="1" ht="18.75">
      <c r="A13" s="28" t="s">
        <v>39</v>
      </c>
      <c r="B13" s="28"/>
      <c r="C13" s="28"/>
      <c r="D13" s="28">
        <v>0</v>
      </c>
      <c r="E13" s="31">
        <v>0.25</v>
      </c>
      <c r="F13" s="31">
        <v>0.7</v>
      </c>
      <c r="G13" s="31">
        <v>1</v>
      </c>
      <c r="H13" s="31">
        <f>G13</f>
        <v>1</v>
      </c>
      <c r="I13" s="31">
        <f>H13</f>
        <v>1</v>
      </c>
      <c r="J13" s="31">
        <f>I13</f>
        <v>1</v>
      </c>
      <c r="K13" s="31">
        <f>J13</f>
        <v>1</v>
      </c>
    </row>
    <row r="14" spans="1:11" s="30" customFormat="1" ht="18.75">
      <c r="A14" s="28" t="s">
        <v>41</v>
      </c>
      <c r="B14" s="28"/>
      <c r="C14" s="28"/>
      <c r="D14" s="31">
        <f t="shared" ref="D14:K14" si="1">D13*86400*D9*D10/1000000</f>
        <v>0</v>
      </c>
      <c r="E14" s="31">
        <f t="shared" si="1"/>
        <v>3.7519200000000001</v>
      </c>
      <c r="F14" s="31">
        <f t="shared" si="1"/>
        <v>10.505376</v>
      </c>
      <c r="G14" s="31">
        <f t="shared" si="1"/>
        <v>15.007680000000001</v>
      </c>
      <c r="H14" s="31">
        <f t="shared" si="1"/>
        <v>15.007680000000001</v>
      </c>
      <c r="I14" s="31">
        <f t="shared" si="1"/>
        <v>15.007680000000001</v>
      </c>
      <c r="J14" s="31">
        <f t="shared" si="1"/>
        <v>15.007680000000001</v>
      </c>
      <c r="K14" s="31">
        <f t="shared" si="1"/>
        <v>15.007680000000001</v>
      </c>
    </row>
    <row r="15" spans="1:11" s="30" customFormat="1" ht="18.75">
      <c r="A15" s="28" t="s">
        <v>40</v>
      </c>
      <c r="B15" s="28"/>
      <c r="C15" s="28"/>
      <c r="D15" s="31">
        <f>D14</f>
        <v>0</v>
      </c>
      <c r="E15" s="31">
        <f>E14</f>
        <v>3.7519200000000001</v>
      </c>
      <c r="F15" s="31">
        <f t="shared" ref="F15:K15" si="2">F14+E15</f>
        <v>14.257296</v>
      </c>
      <c r="G15" s="31">
        <f t="shared" si="2"/>
        <v>29.264976000000001</v>
      </c>
      <c r="H15" s="31">
        <f t="shared" si="2"/>
        <v>44.272655999999998</v>
      </c>
      <c r="I15" s="31">
        <f t="shared" si="2"/>
        <v>59.280335999999998</v>
      </c>
      <c r="J15" s="31">
        <f t="shared" si="2"/>
        <v>74.288015999999999</v>
      </c>
      <c r="K15" s="31">
        <f t="shared" si="2"/>
        <v>89.295695999999992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A5" sqref="A5:O14"/>
    </sheetView>
  </sheetViews>
  <sheetFormatPr baseColWidth="10" defaultRowHeight="15.75"/>
  <cols>
    <col min="1" max="1" width="42" customWidth="1"/>
    <col min="2" max="3" width="0" hidden="1" customWidth="1"/>
  </cols>
  <sheetData>
    <row r="1" spans="1:15">
      <c r="A1" t="s">
        <v>33</v>
      </c>
    </row>
    <row r="3" spans="1:15">
      <c r="A3" s="4" t="s">
        <v>37</v>
      </c>
      <c r="B3">
        <v>4.0000000000000001E-3</v>
      </c>
    </row>
    <row r="5" spans="1:15" s="3" customFormat="1">
      <c r="A5" s="3" t="s">
        <v>1</v>
      </c>
      <c r="B5" s="21">
        <v>2009</v>
      </c>
      <c r="C5" s="21">
        <v>2010</v>
      </c>
      <c r="D5" s="21">
        <v>2011</v>
      </c>
      <c r="E5" s="3">
        <v>2012</v>
      </c>
      <c r="F5" s="3">
        <v>2013</v>
      </c>
      <c r="G5" s="3">
        <v>2014</v>
      </c>
      <c r="H5" s="3">
        <v>2015</v>
      </c>
      <c r="I5" s="3">
        <v>2016</v>
      </c>
      <c r="J5" s="3">
        <v>2017</v>
      </c>
      <c r="K5" s="3">
        <v>2018</v>
      </c>
      <c r="L5" s="3">
        <v>2019</v>
      </c>
      <c r="M5" s="3">
        <v>2020</v>
      </c>
      <c r="N5" s="3">
        <v>2021</v>
      </c>
      <c r="O5" s="3">
        <v>2022</v>
      </c>
    </row>
    <row r="6" spans="1:15" s="4" customFormat="1" ht="12.75">
      <c r="A6" s="4" t="s">
        <v>56</v>
      </c>
      <c r="B6" s="9">
        <v>350</v>
      </c>
      <c r="C6" s="9">
        <v>350</v>
      </c>
      <c r="D6" s="9">
        <v>350</v>
      </c>
      <c r="E6" s="9">
        <v>350</v>
      </c>
      <c r="F6" s="9">
        <v>350</v>
      </c>
      <c r="G6" s="9">
        <v>350</v>
      </c>
      <c r="H6" s="9">
        <v>350</v>
      </c>
      <c r="I6" s="9">
        <v>350</v>
      </c>
      <c r="J6" s="9">
        <v>350</v>
      </c>
      <c r="K6" s="9">
        <v>350</v>
      </c>
      <c r="L6" s="9">
        <v>350</v>
      </c>
      <c r="M6" s="9">
        <v>350</v>
      </c>
      <c r="N6" s="9">
        <v>350</v>
      </c>
      <c r="O6" s="9">
        <v>350</v>
      </c>
    </row>
    <row r="7" spans="1:15" s="4" customFormat="1" ht="12.75">
      <c r="A7" s="4" t="s">
        <v>57</v>
      </c>
      <c r="B7" s="9">
        <v>20</v>
      </c>
      <c r="C7" s="9">
        <v>20</v>
      </c>
      <c r="D7" s="9">
        <v>20</v>
      </c>
      <c r="E7" s="9">
        <v>20</v>
      </c>
      <c r="F7" s="9">
        <v>20</v>
      </c>
      <c r="G7" s="9">
        <v>20</v>
      </c>
      <c r="H7" s="9">
        <v>20</v>
      </c>
      <c r="I7" s="9">
        <v>20</v>
      </c>
      <c r="J7" s="9">
        <v>20</v>
      </c>
      <c r="K7" s="9">
        <v>20</v>
      </c>
      <c r="L7" s="9">
        <v>20</v>
      </c>
      <c r="M7" s="9">
        <v>20</v>
      </c>
      <c r="N7" s="9">
        <v>20</v>
      </c>
      <c r="O7" s="9">
        <v>20</v>
      </c>
    </row>
    <row r="8" spans="1:15" s="4" customFormat="1" ht="12.75">
      <c r="A8" s="4" t="s">
        <v>52</v>
      </c>
      <c r="B8" s="9">
        <v>0.08</v>
      </c>
      <c r="C8" s="9">
        <v>0.08</v>
      </c>
      <c r="D8" s="9">
        <v>0.08</v>
      </c>
      <c r="E8" s="9">
        <v>0.08</v>
      </c>
      <c r="F8" s="9">
        <v>0.08</v>
      </c>
      <c r="G8" s="9">
        <v>0.08</v>
      </c>
      <c r="H8" s="9">
        <v>0.08</v>
      </c>
      <c r="I8" s="9">
        <v>0.08</v>
      </c>
      <c r="J8" s="9">
        <v>0.08</v>
      </c>
      <c r="K8" s="9">
        <v>0.08</v>
      </c>
      <c r="L8" s="9">
        <v>0.08</v>
      </c>
      <c r="M8" s="9">
        <v>0.08</v>
      </c>
      <c r="N8" s="9">
        <v>0.08</v>
      </c>
      <c r="O8" s="9">
        <v>0.08</v>
      </c>
    </row>
    <row r="9" spans="1:15" s="4" customFormat="1" ht="12.75">
      <c r="A9" s="4" t="s">
        <v>34</v>
      </c>
      <c r="B9" s="9">
        <v>1</v>
      </c>
      <c r="C9" s="9">
        <v>1</v>
      </c>
      <c r="D9" s="9">
        <v>1</v>
      </c>
      <c r="E9" s="9">
        <v>2</v>
      </c>
      <c r="F9" s="9">
        <v>2</v>
      </c>
      <c r="G9" s="9">
        <v>5</v>
      </c>
      <c r="H9" s="9">
        <v>5</v>
      </c>
      <c r="I9" s="9">
        <v>10</v>
      </c>
      <c r="J9" s="9">
        <v>10</v>
      </c>
      <c r="K9" s="9">
        <v>20</v>
      </c>
      <c r="L9" s="9">
        <v>20</v>
      </c>
      <c r="M9" s="9">
        <v>40</v>
      </c>
      <c r="N9" s="9">
        <v>40</v>
      </c>
      <c r="O9" s="9">
        <v>80</v>
      </c>
    </row>
    <row r="10" spans="1:15" s="4" customFormat="1" ht="12.75">
      <c r="A10" s="4" t="s">
        <v>35</v>
      </c>
      <c r="B10" s="9">
        <v>6000</v>
      </c>
      <c r="C10" s="9">
        <v>6000</v>
      </c>
      <c r="D10" s="9">
        <v>6000</v>
      </c>
      <c r="E10" s="9">
        <v>6000</v>
      </c>
      <c r="F10" s="9">
        <v>6000</v>
      </c>
      <c r="G10" s="9">
        <v>6000</v>
      </c>
      <c r="H10" s="9">
        <v>6000</v>
      </c>
      <c r="I10" s="9">
        <v>6000</v>
      </c>
      <c r="J10" s="9">
        <v>6000</v>
      </c>
      <c r="K10" s="9">
        <v>6000</v>
      </c>
      <c r="L10" s="9">
        <v>6000</v>
      </c>
      <c r="M10" s="9">
        <v>6000</v>
      </c>
      <c r="N10" s="9">
        <v>6000</v>
      </c>
      <c r="O10" s="9">
        <v>6000</v>
      </c>
    </row>
    <row r="11" spans="1:15" s="4" customFormat="1" ht="12.75">
      <c r="A11" s="4" t="s">
        <v>36</v>
      </c>
      <c r="B11" s="9">
        <v>200</v>
      </c>
      <c r="C11" s="9">
        <v>200</v>
      </c>
      <c r="D11" s="9">
        <v>200</v>
      </c>
      <c r="E11" s="9">
        <v>200</v>
      </c>
      <c r="F11" s="9">
        <v>200</v>
      </c>
      <c r="G11" s="9">
        <v>200</v>
      </c>
      <c r="H11" s="9">
        <v>200</v>
      </c>
      <c r="I11" s="9">
        <v>200</v>
      </c>
      <c r="J11" s="9">
        <v>200</v>
      </c>
      <c r="K11" s="9">
        <v>200</v>
      </c>
      <c r="L11" s="9">
        <v>200</v>
      </c>
      <c r="M11" s="9">
        <v>200</v>
      </c>
      <c r="N11" s="9">
        <v>200</v>
      </c>
      <c r="O11" s="9">
        <v>200</v>
      </c>
    </row>
    <row r="12" spans="1:15" s="4" customFormat="1" ht="12.75">
      <c r="A12" s="4" t="s">
        <v>53</v>
      </c>
      <c r="B12" s="9">
        <v>1.35</v>
      </c>
      <c r="C12" s="9">
        <v>0.9</v>
      </c>
      <c r="D12" s="9">
        <v>0.60000000000000009</v>
      </c>
      <c r="E12" s="9">
        <f>D12*0.7</f>
        <v>0.42000000000000004</v>
      </c>
      <c r="F12" s="9">
        <f t="shared" ref="F12:O12" si="0">E12*0.7</f>
        <v>0.29399999999999998</v>
      </c>
      <c r="G12" s="9">
        <f t="shared" si="0"/>
        <v>0.20579999999999998</v>
      </c>
      <c r="H12" s="9">
        <f t="shared" si="0"/>
        <v>0.14405999999999997</v>
      </c>
      <c r="I12" s="9">
        <f t="shared" si="0"/>
        <v>0.10084199999999997</v>
      </c>
      <c r="J12" s="9">
        <f t="shared" si="0"/>
        <v>7.0589399999999983E-2</v>
      </c>
      <c r="K12" s="9">
        <f t="shared" si="0"/>
        <v>4.9412579999999984E-2</v>
      </c>
      <c r="L12" s="9">
        <f t="shared" si="0"/>
        <v>3.4588805999999986E-2</v>
      </c>
      <c r="M12" s="9">
        <f t="shared" si="0"/>
        <v>2.421216419999999E-2</v>
      </c>
      <c r="N12" s="9">
        <f t="shared" si="0"/>
        <v>1.6948514939999992E-2</v>
      </c>
      <c r="O12" s="9">
        <f t="shared" si="0"/>
        <v>1.1863960457999994E-2</v>
      </c>
    </row>
    <row r="13" spans="1:15" s="4" customFormat="1" ht="12.75">
      <c r="A13" s="4" t="s">
        <v>55</v>
      </c>
      <c r="B13" s="9">
        <v>0.13500000000000001</v>
      </c>
      <c r="C13" s="9">
        <v>0.09</v>
      </c>
      <c r="D13" s="9">
        <v>0.06</v>
      </c>
      <c r="E13" s="9">
        <f>D13*0.7</f>
        <v>4.1999999999999996E-2</v>
      </c>
      <c r="F13" s="9">
        <f t="shared" ref="F13:O13" si="1">E13*0.7</f>
        <v>2.9399999999999996E-2</v>
      </c>
      <c r="G13" s="9">
        <f t="shared" si="1"/>
        <v>2.0579999999999994E-2</v>
      </c>
      <c r="H13" s="9">
        <f t="shared" si="1"/>
        <v>1.4405999999999995E-2</v>
      </c>
      <c r="I13" s="9">
        <f t="shared" si="1"/>
        <v>1.0084199999999996E-2</v>
      </c>
      <c r="J13" s="9">
        <f t="shared" si="1"/>
        <v>7.0589399999999971E-3</v>
      </c>
      <c r="K13" s="9">
        <f t="shared" si="1"/>
        <v>4.9412579999999979E-3</v>
      </c>
      <c r="L13" s="9">
        <f t="shared" si="1"/>
        <v>3.4588805999999982E-3</v>
      </c>
      <c r="M13" s="9">
        <f t="shared" si="1"/>
        <v>2.4212164199999987E-3</v>
      </c>
      <c r="N13" s="9">
        <f t="shared" si="1"/>
        <v>1.6948514939999989E-3</v>
      </c>
      <c r="O13" s="9">
        <f t="shared" si="1"/>
        <v>1.1863960457999991E-3</v>
      </c>
    </row>
    <row r="14" spans="1:15" s="4" customFormat="1" ht="12.75">
      <c r="A14" s="4" t="s">
        <v>54</v>
      </c>
      <c r="B14" s="9">
        <f>B13/$B$3</f>
        <v>33.75</v>
      </c>
      <c r="C14" s="9">
        <f t="shared" ref="C14:O14" si="2">C13/$B$3</f>
        <v>22.5</v>
      </c>
      <c r="D14" s="9">
        <f t="shared" si="2"/>
        <v>15</v>
      </c>
      <c r="E14" s="9">
        <f t="shared" si="2"/>
        <v>10.499999999999998</v>
      </c>
      <c r="F14" s="9">
        <f t="shared" si="2"/>
        <v>7.3499999999999988</v>
      </c>
      <c r="G14" s="9">
        <f t="shared" si="2"/>
        <v>5.1449999999999987</v>
      </c>
      <c r="H14" s="9">
        <f t="shared" si="2"/>
        <v>3.6014999999999988</v>
      </c>
      <c r="I14" s="9">
        <f t="shared" si="2"/>
        <v>2.5210499999999989</v>
      </c>
      <c r="J14" s="9">
        <f t="shared" si="2"/>
        <v>1.7647349999999993</v>
      </c>
      <c r="K14" s="9">
        <f t="shared" si="2"/>
        <v>1.2353144999999994</v>
      </c>
      <c r="L14" s="9">
        <f t="shared" si="2"/>
        <v>0.86472014999999947</v>
      </c>
      <c r="M14" s="9">
        <f t="shared" si="2"/>
        <v>0.60530410499999965</v>
      </c>
      <c r="N14" s="9">
        <f t="shared" si="2"/>
        <v>0.4237128734999997</v>
      </c>
      <c r="O14" s="9">
        <f t="shared" si="2"/>
        <v>0.29659901144999978</v>
      </c>
    </row>
    <row r="15" spans="1: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A76" workbookViewId="0">
      <selection activeCell="D59" sqref="D59"/>
    </sheetView>
  </sheetViews>
  <sheetFormatPr baseColWidth="10" defaultRowHeight="15.75"/>
  <cols>
    <col min="1" max="1" width="53.875" customWidth="1"/>
    <col min="2" max="2" width="1.125" customWidth="1"/>
    <col min="3" max="3" width="5.125" hidden="1" customWidth="1"/>
    <col min="4" max="4" width="11" customWidth="1"/>
    <col min="5" max="9" width="11" bestFit="1" customWidth="1"/>
    <col min="10" max="11" width="11.5" bestFit="1" customWidth="1"/>
    <col min="13" max="13" width="17" customWidth="1"/>
  </cols>
  <sheetData>
    <row r="1" spans="1:11">
      <c r="A1" t="s">
        <v>60</v>
      </c>
    </row>
    <row r="4" spans="1:11">
      <c r="A4" t="s">
        <v>1</v>
      </c>
      <c r="D4">
        <f>SBPerf!D6</f>
        <v>2015</v>
      </c>
      <c r="E4">
        <f>SBPerf!E6</f>
        <v>2016</v>
      </c>
      <c r="F4">
        <f>SBPerf!F6</f>
        <v>2017</v>
      </c>
      <c r="G4">
        <f>SBPerf!G6</f>
        <v>2018</v>
      </c>
      <c r="H4">
        <f>SBPerf!H6</f>
        <v>2019</v>
      </c>
      <c r="I4">
        <f>SBPerf!I6</f>
        <v>2020</v>
      </c>
      <c r="J4">
        <f>SBPerf!J6</f>
        <v>2021</v>
      </c>
      <c r="K4">
        <f>SBPerf!K6</f>
        <v>2022</v>
      </c>
    </row>
    <row r="7" spans="1:11">
      <c r="A7" t="s">
        <v>61</v>
      </c>
    </row>
    <row r="8" spans="1:11">
      <c r="A8" s="4" t="s">
        <v>39</v>
      </c>
      <c r="D8">
        <f>SBPerf!D13</f>
        <v>0</v>
      </c>
      <c r="E8">
        <f>SBPerf!E13</f>
        <v>0.25</v>
      </c>
      <c r="F8">
        <f>SBPerf!F13</f>
        <v>0.7</v>
      </c>
      <c r="G8">
        <f>SBPerf!G13</f>
        <v>1</v>
      </c>
      <c r="H8">
        <f>SBPerf!H13</f>
        <v>1</v>
      </c>
      <c r="I8">
        <f>SBPerf!I13</f>
        <v>1</v>
      </c>
      <c r="J8">
        <f>SBPerf!J13</f>
        <v>1</v>
      </c>
      <c r="K8">
        <f>SBPerf!K13</f>
        <v>1</v>
      </c>
    </row>
    <row r="9" spans="1:11">
      <c r="A9" s="4" t="s">
        <v>41</v>
      </c>
      <c r="D9">
        <f>SBPerf!D14</f>
        <v>0</v>
      </c>
      <c r="E9" s="10">
        <f>SBPerf!E14</f>
        <v>3.7519200000000001</v>
      </c>
      <c r="F9" s="10">
        <f>SBPerf!F14</f>
        <v>10.505376</v>
      </c>
      <c r="G9" s="10">
        <f>SBPerf!G14</f>
        <v>15.007680000000001</v>
      </c>
      <c r="H9" s="10">
        <f>SBPerf!H14</f>
        <v>15.007680000000001</v>
      </c>
      <c r="I9" s="10">
        <f>SBPerf!I14</f>
        <v>15.007680000000001</v>
      </c>
      <c r="J9" s="10">
        <f>SBPerf!J14</f>
        <v>15.007680000000001</v>
      </c>
      <c r="K9" s="10">
        <f>SBPerf!K14</f>
        <v>15.007680000000001</v>
      </c>
    </row>
    <row r="10" spans="1:11">
      <c r="A10" s="4" t="s">
        <v>40</v>
      </c>
      <c r="D10">
        <f>SBPerf!D15</f>
        <v>0</v>
      </c>
      <c r="E10" s="10">
        <f>SBPerf!E15</f>
        <v>3.7519200000000001</v>
      </c>
      <c r="F10" s="10">
        <f>SBPerf!F15</f>
        <v>14.257296</v>
      </c>
      <c r="G10" s="10">
        <f>SBPerf!G15</f>
        <v>29.264976000000001</v>
      </c>
      <c r="H10" s="10">
        <f>SBPerf!H15</f>
        <v>44.272655999999998</v>
      </c>
      <c r="I10" s="10">
        <f>SBPerf!I15</f>
        <v>59.280335999999998</v>
      </c>
      <c r="J10" s="10">
        <f>SBPerf!J15</f>
        <v>74.288015999999999</v>
      </c>
      <c r="K10" s="10">
        <f>SBPerf!K15</f>
        <v>89.295695999999992</v>
      </c>
    </row>
    <row r="13" spans="1:11" s="20" customFormat="1" ht="23.25">
      <c r="A13" s="22" t="s">
        <v>64</v>
      </c>
      <c r="E13" s="20">
        <f>E4</f>
        <v>2016</v>
      </c>
      <c r="F13" s="20">
        <f t="shared" ref="F13:K13" si="0">F4</f>
        <v>2017</v>
      </c>
      <c r="G13" s="20">
        <f t="shared" si="0"/>
        <v>2018</v>
      </c>
      <c r="H13" s="20">
        <f t="shared" si="0"/>
        <v>2019</v>
      </c>
      <c r="I13" s="20">
        <f t="shared" si="0"/>
        <v>2020</v>
      </c>
      <c r="J13" s="20">
        <f t="shared" si="0"/>
        <v>2021</v>
      </c>
      <c r="K13" s="20">
        <f t="shared" si="0"/>
        <v>2022</v>
      </c>
    </row>
    <row r="14" spans="1:11">
      <c r="A14" s="4" t="s">
        <v>98</v>
      </c>
      <c r="D14" s="15">
        <f>SBParams!D11*SBParams!D28*D$10</f>
        <v>0</v>
      </c>
      <c r="E14" s="15">
        <f>SBParams!E11*SBParams!E28*E$10</f>
        <v>19697.580000000002</v>
      </c>
      <c r="F14" s="15">
        <f>SBParams!F11*SBParams!F28*F$10</f>
        <v>74850.804000000004</v>
      </c>
      <c r="G14" s="15">
        <f>SBParams!G11*SBParams!G28*G$10</f>
        <v>153641.12400000001</v>
      </c>
      <c r="H14" s="15">
        <f>SBParams!H11*SBParams!H28*H$10</f>
        <v>232431.44399999999</v>
      </c>
      <c r="I14" s="15">
        <f>SBParams!I11*SBParams!I28*I$10</f>
        <v>311221.76399999997</v>
      </c>
      <c r="J14" s="15">
        <f>SBParams!J11*SBParams!J28*J$10</f>
        <v>390012.08399999997</v>
      </c>
      <c r="K14" s="15">
        <f>SBParams!K11*SBParams!K28*K$10</f>
        <v>468802.40399999998</v>
      </c>
    </row>
    <row r="15" spans="1:11">
      <c r="A15" s="4" t="s">
        <v>101</v>
      </c>
      <c r="D15" s="15">
        <f>SBParams!D12*SBParams!D29*D$10</f>
        <v>0</v>
      </c>
      <c r="E15" s="15">
        <f>SBParams!E12*SBParams!E29*E$10</f>
        <v>1260.6451200000001</v>
      </c>
      <c r="F15" s="15">
        <f>SBParams!F12*SBParams!F29*F$10</f>
        <v>4790.4514559999998</v>
      </c>
      <c r="G15" s="15">
        <f>SBParams!G12*SBParams!G29*G$10</f>
        <v>9833.0319359999994</v>
      </c>
      <c r="H15" s="15">
        <f>SBParams!H12*SBParams!H29*H$10</f>
        <v>14875.612416</v>
      </c>
      <c r="I15" s="15">
        <f>SBParams!I12*SBParams!I29*I$10</f>
        <v>19918.192896</v>
      </c>
      <c r="J15" s="15">
        <f>SBParams!J12*SBParams!J29*J$10</f>
        <v>24960.773376000001</v>
      </c>
      <c r="K15" s="15">
        <f>SBParams!K12*SBParams!K29*K$10</f>
        <v>30003.353855999998</v>
      </c>
    </row>
    <row r="16" spans="1:11">
      <c r="A16" s="4" t="s">
        <v>100</v>
      </c>
      <c r="D16" s="15">
        <f>SBParams!D13*SBParams!D30*D$10</f>
        <v>0</v>
      </c>
      <c r="E16" s="15">
        <f>SBParams!E13*SBParams!E30*E$10</f>
        <v>600.30719999999997</v>
      </c>
      <c r="F16" s="15">
        <f>SBParams!F13*SBParams!F30*F$10</f>
        <v>2281.1673599999999</v>
      </c>
      <c r="G16" s="15">
        <f>SBParams!G13*SBParams!G30*G$10</f>
        <v>4682.3961600000002</v>
      </c>
      <c r="H16" s="15">
        <f>SBParams!H13*SBParams!H30*H$10</f>
        <v>7083.6249599999992</v>
      </c>
      <c r="I16" s="15">
        <f>SBParams!I13*SBParams!I30*I$10</f>
        <v>9484.85376</v>
      </c>
      <c r="J16" s="15">
        <f>SBParams!J13*SBParams!J30*J$10</f>
        <v>11886.082559999999</v>
      </c>
      <c r="K16" s="15">
        <f>SBParams!K13*SBParams!K30*K$10</f>
        <v>14287.31136</v>
      </c>
    </row>
    <row r="17" spans="1:11">
      <c r="A17" s="4" t="s">
        <v>102</v>
      </c>
      <c r="D17" s="15">
        <f>SBParams!D14*SBParams!D$45*SBParams!D31*D$10</f>
        <v>0</v>
      </c>
      <c r="E17" s="15">
        <f>SBParams!E14*SBParams!E$45*SBParams!E31*E$10</f>
        <v>1530.7833600000001</v>
      </c>
      <c r="F17" s="15">
        <f>SBParams!F14*SBParams!F$45*SBParams!F31*F$10</f>
        <v>5816.9767680000004</v>
      </c>
      <c r="G17" s="15">
        <f>SBParams!G14*SBParams!G$45*SBParams!G31*G$10</f>
        <v>11940.110208</v>
      </c>
      <c r="H17" s="15">
        <f>SBParams!H14*SBParams!H$45*SBParams!H31*H$10</f>
        <v>18063.243648</v>
      </c>
      <c r="I17" s="15">
        <f>SBParams!I14*SBParams!I$45*SBParams!I31*I$10</f>
        <v>24186.377088000001</v>
      </c>
      <c r="J17" s="15">
        <f>SBParams!J14*SBParams!J$45*SBParams!J31*J$10</f>
        <v>30309.510527999999</v>
      </c>
      <c r="K17" s="15">
        <f>SBParams!K14*SBParams!K$45*SBParams!K31*K$10</f>
        <v>36432.643967999997</v>
      </c>
    </row>
    <row r="18" spans="1:11">
      <c r="A18" s="4" t="s">
        <v>103</v>
      </c>
      <c r="D18" s="15">
        <f>SBParams!D15*SBParams!D$45*SBParams!D32*D$10</f>
        <v>0</v>
      </c>
      <c r="E18" s="15">
        <f>SBParams!E15*SBParams!E$45*SBParams!E32*E$10</f>
        <v>585.29952000000003</v>
      </c>
      <c r="F18" s="15">
        <f>SBParams!F15*SBParams!F$45*SBParams!F32*F$10</f>
        <v>2224.1381759999999</v>
      </c>
      <c r="G18" s="15">
        <f>SBParams!G15*SBParams!G$45*SBParams!G32*G$10</f>
        <v>4565.3362560000005</v>
      </c>
      <c r="H18" s="15">
        <f>SBParams!H15*SBParams!H$45*SBParams!H32*H$10</f>
        <v>6906.5343359999997</v>
      </c>
      <c r="I18" s="15">
        <f>SBParams!I15*SBParams!I$45*SBParams!I32*I$10</f>
        <v>9247.7324159999989</v>
      </c>
      <c r="J18" s="15">
        <f>SBParams!J15*SBParams!J$45*SBParams!J32*J$10</f>
        <v>11588.930495999999</v>
      </c>
      <c r="K18" s="15">
        <f>SBParams!K15*SBParams!K$45*SBParams!K32*K$10</f>
        <v>13930.128575999999</v>
      </c>
    </row>
    <row r="19" spans="1:11">
      <c r="A19" s="4" t="s">
        <v>104</v>
      </c>
      <c r="D19" s="15">
        <f>D$9*(SBParams!D12+SBParams!D14*SBParams!D$45)*SBParams!D33*SBParams!D36</f>
        <v>0</v>
      </c>
      <c r="E19" s="15">
        <f>E$9*(SBParams!E12+SBParams!E14*SBParams!E$45)*SBParams!E33*SBParams!E36</f>
        <v>3489.2856000000002</v>
      </c>
      <c r="F19" s="15">
        <f>F$9*(SBParams!F12+SBParams!F14*SBParams!F$45)*SBParams!F33*SBParams!F36</f>
        <v>9769.999679999999</v>
      </c>
      <c r="G19" s="15">
        <f>G$9*(SBParams!G12+SBParams!G14*SBParams!G$45)*SBParams!G33*SBParams!G36</f>
        <v>13957.142400000001</v>
      </c>
      <c r="H19" s="15">
        <f>H$9*(SBParams!H12+SBParams!H14*SBParams!H$45)*SBParams!H33*SBParams!H36</f>
        <v>13957.142400000001</v>
      </c>
      <c r="I19" s="15">
        <f>I$9*(SBParams!I12+SBParams!I14*SBParams!I$45)*SBParams!I33*SBParams!I36</f>
        <v>13957.142400000001</v>
      </c>
      <c r="J19" s="15">
        <f>J$9*(SBParams!J12+SBParams!J14*SBParams!J$45)*SBParams!J33*SBParams!J36</f>
        <v>13957.142400000001</v>
      </c>
      <c r="K19" s="15">
        <f>K$9*(SBParams!K12+SBParams!K14*SBParams!K$45)*SBParams!K33*SBParams!K36</f>
        <v>13957.142400000001</v>
      </c>
    </row>
    <row r="20" spans="1:11">
      <c r="A20" s="4" t="s">
        <v>105</v>
      </c>
      <c r="D20" s="15">
        <f>D$10*(SBParams!D13+SBParams!D15*SBParams!D$45)*SBParams!D34</f>
        <v>0</v>
      </c>
      <c r="E20" s="15">
        <f>E$10*(SBParams!E13+SBParams!E15*SBParams!E$45)*SBParams!E34</f>
        <v>355.68201600000003</v>
      </c>
      <c r="F20" s="15">
        <f>F$10*(SBParams!F13+SBParams!F15*SBParams!F$45)*SBParams!F34</f>
        <v>1351.5916608000002</v>
      </c>
      <c r="G20" s="15">
        <f>G$10*(SBParams!G13+SBParams!G15*SBParams!G$45)*SBParams!G34</f>
        <v>2774.3197248000006</v>
      </c>
      <c r="H20" s="15">
        <f>H$10*(SBParams!H13+SBParams!H15*SBParams!H$45)*SBParams!H34</f>
        <v>4197.0477888000005</v>
      </c>
      <c r="I20" s="15">
        <f>I$10*(SBParams!I13+SBParams!I15*SBParams!I$45)*SBParams!I34</f>
        <v>5619.7758528000013</v>
      </c>
      <c r="J20" s="15">
        <f>J$10*(SBParams!J13+SBParams!J15*SBParams!J$45)*SBParams!J34</f>
        <v>7042.5039168000012</v>
      </c>
      <c r="K20" s="15">
        <f>K$10*(SBParams!K13+SBParams!K15*SBParams!K$45)*SBParams!K34</f>
        <v>8465.2319808000011</v>
      </c>
    </row>
    <row r="21" spans="1:11">
      <c r="A21" s="4" t="s">
        <v>106</v>
      </c>
      <c r="D21" s="15">
        <f>SBParams!D35*D$9*(SBParams!D12+SBParams!D13+(SBParams!D14+SBParams!D15)*SBParams!D$45)</f>
        <v>0</v>
      </c>
      <c r="E21" s="15">
        <f>SBParams!E35*E$9*(SBParams!E12+SBParams!E13+(SBParams!E14+SBParams!E15)*SBParams!E$45)</f>
        <v>376.692768</v>
      </c>
      <c r="F21" s="15">
        <f>SBParams!F35*F$9*(SBParams!F12+SBParams!F13+(SBParams!F14+SBParams!F15)*SBParams!F$45)</f>
        <v>1054.7397504</v>
      </c>
      <c r="G21" s="15">
        <f>SBParams!G35*G$9*(SBParams!G12+SBParams!G13+(SBParams!G14+SBParams!G15)*SBParams!G$45)</f>
        <v>1506.771072</v>
      </c>
      <c r="H21" s="15">
        <f>SBParams!H35*H$9*(SBParams!H12+SBParams!H13+(SBParams!H14+SBParams!H15)*SBParams!H$45)</f>
        <v>1506.771072</v>
      </c>
      <c r="I21" s="15">
        <f>SBParams!I35*I$9*(SBParams!I12+SBParams!I13+(SBParams!I14+SBParams!I15)*SBParams!I$45)</f>
        <v>1506.771072</v>
      </c>
      <c r="J21" s="15">
        <f>SBParams!J35*J$9*(SBParams!J12+SBParams!J13+(SBParams!J14+SBParams!J15)*SBParams!J$45)</f>
        <v>1506.771072</v>
      </c>
      <c r="K21" s="15">
        <f>SBParams!K35*K$9*(SBParams!K12+SBParams!K13+(SBParams!K14+SBParams!K15)*SBParams!K$45)</f>
        <v>1506.771072</v>
      </c>
    </row>
    <row r="22" spans="1:11">
      <c r="A22" s="4" t="s">
        <v>99</v>
      </c>
      <c r="D22" s="15">
        <v>0</v>
      </c>
      <c r="E22" s="15">
        <f>D10*(SBParams!D12+SBParams!D13+(SBParams!D14+SBParams!D15)*SBParams!D45)</f>
        <v>0</v>
      </c>
      <c r="F22" s="15">
        <f>E10*(SBParams!E12+SBParams!E13+SBParams!E14+SBParams!E15)</f>
        <v>1883.4638400000001</v>
      </c>
      <c r="G22" s="15">
        <f>F10*(SBParams!F12+SBParams!F13+SBParams!F14+SBParams!F15)</f>
        <v>7157.1625919999997</v>
      </c>
      <c r="H22" s="15">
        <f>G10*(SBParams!G12+SBParams!G13+SBParams!G14+SBParams!G15)</f>
        <v>14691.017952</v>
      </c>
      <c r="I22" s="15">
        <f>H10*(SBParams!H12+SBParams!H13+SBParams!H14+SBParams!H15)</f>
        <v>22224.873312</v>
      </c>
      <c r="J22" s="15">
        <f>I10*(SBParams!I12+SBParams!I13+SBParams!I14+SBParams!I15)</f>
        <v>29758.728671999997</v>
      </c>
      <c r="K22" s="15">
        <f>J10*(SBParams!J12+SBParams!J13+SBParams!J14+SBParams!J15)</f>
        <v>37292.584031999999</v>
      </c>
    </row>
    <row r="23" spans="1:11">
      <c r="A23" s="4" t="s">
        <v>62</v>
      </c>
      <c r="D23" s="15">
        <v>0</v>
      </c>
      <c r="E23" s="15">
        <f>D10*(SBParams!D12+SBParams!D14)*SBParams!D33</f>
        <v>0</v>
      </c>
      <c r="F23" s="15">
        <f>E10*(SBParams!E12+SBParams!E14)*SBParams!E33</f>
        <v>3489.2856000000002</v>
      </c>
      <c r="G23" s="15">
        <f>F10*(SBParams!F12+SBParams!F14)*SBParams!F33</f>
        <v>13259.28528</v>
      </c>
      <c r="H23" s="15">
        <f>G10*(SBParams!G12+SBParams!G14)*SBParams!G33</f>
        <v>27216.427680000001</v>
      </c>
      <c r="I23" s="15">
        <f>H10*(SBParams!H12+SBParams!H14)*SBParams!H33</f>
        <v>41173.570079999998</v>
      </c>
      <c r="J23" s="15">
        <f>I10*(SBParams!I12+SBParams!I14)*SBParams!I33</f>
        <v>55130.712480000002</v>
      </c>
      <c r="K23" s="15">
        <f>J10*(SBParams!J12+SBParams!J14)*SBParams!J33</f>
        <v>69087.854879999999</v>
      </c>
    </row>
    <row r="24" spans="1:11">
      <c r="A24" s="4" t="s">
        <v>63</v>
      </c>
      <c r="D24" s="15">
        <v>0</v>
      </c>
      <c r="E24" s="15">
        <v>0</v>
      </c>
      <c r="F24" s="15">
        <f>0.5*(D22+D23)</f>
        <v>0</v>
      </c>
      <c r="G24" s="15">
        <f t="shared" ref="G24:K24" si="1">0.5*(E22+E23)</f>
        <v>0</v>
      </c>
      <c r="H24" s="15">
        <f t="shared" si="1"/>
        <v>2686.3747200000003</v>
      </c>
      <c r="I24" s="15">
        <f t="shared" si="1"/>
        <v>10208.223936</v>
      </c>
      <c r="J24" s="15">
        <f t="shared" si="1"/>
        <v>20953.722816000001</v>
      </c>
      <c r="K24" s="15">
        <f t="shared" si="1"/>
        <v>31699.221696000001</v>
      </c>
    </row>
    <row r="26" spans="1:11" s="18" customFormat="1" ht="18.75">
      <c r="A26" s="17" t="s">
        <v>66</v>
      </c>
      <c r="D26" s="19">
        <f>SUM(D14:D24)</f>
        <v>0</v>
      </c>
      <c r="E26" s="19">
        <f t="shared" ref="E26:K26" si="2">SUM(E14:E24)</f>
        <v>27896.275584000003</v>
      </c>
      <c r="F26" s="19">
        <f t="shared" si="2"/>
        <v>107512.61829119998</v>
      </c>
      <c r="G26" s="19">
        <f t="shared" si="2"/>
        <v>223316.67962880005</v>
      </c>
      <c r="H26" s="19">
        <f t="shared" si="2"/>
        <v>343615.24097279995</v>
      </c>
      <c r="I26" s="19">
        <f t="shared" si="2"/>
        <v>468749.27681279997</v>
      </c>
      <c r="J26" s="19">
        <f t="shared" si="2"/>
        <v>597106.96231680003</v>
      </c>
      <c r="K26" s="19">
        <f t="shared" si="2"/>
        <v>725464.64782080008</v>
      </c>
    </row>
    <row r="27" spans="1:11">
      <c r="A27" s="14" t="s">
        <v>67</v>
      </c>
      <c r="D27" s="15">
        <f>D15*SBParams!D$37+D16*SBParams!D$38+D17*SBParams!D$39+D18*SBParams!D$40+D19*SBParams!D$41+D20+D21</f>
        <v>0</v>
      </c>
      <c r="E27" s="15">
        <f>E15*SBParams!E$37+E16*SBParams!E$38+E17*SBParams!E$39+E18*SBParams!E$40+E19*SBParams!E$41+E20+E21</f>
        <v>8198.695584000001</v>
      </c>
      <c r="F27" s="15">
        <f>F15*SBParams!F$37+F16*SBParams!F$38+F17*SBParams!F$39+F18*SBParams!F$40+F19*SBParams!F$41+F20+F21</f>
        <v>27289.064851200001</v>
      </c>
      <c r="G27" s="15">
        <f>G15*SBParams!G$37+G16*SBParams!G$38+G17*SBParams!G$39+G18*SBParams!G$40+G19*SBParams!G$41+G20+G21</f>
        <v>44635.241548800004</v>
      </c>
      <c r="H27" s="15">
        <f>H15*SBParams!H$37+H16*SBParams!H$38+H17*SBParams!H$39+H18*SBParams!H$40+H19*SBParams!H$41+H20+H21</f>
        <v>59594.896972800008</v>
      </c>
      <c r="I27" s="15">
        <f>I15*SBParams!I$37+I16*SBParams!I$38+I17*SBParams!I$39+I18*SBParams!I$40+I19*SBParams!I$41+I20+I21</f>
        <v>67061.517926400003</v>
      </c>
      <c r="J27" s="15">
        <f>J15*SBParams!J$37+J16*SBParams!J$38+J17*SBParams!J$39+J18*SBParams!J$40+J19*SBParams!J$41+J20+J21</f>
        <v>80124.202598400021</v>
      </c>
      <c r="K27" s="15">
        <f>K15*SBParams!K$37+K16*SBParams!K$38+K17*SBParams!K$39+K18*SBParams!K$40+K19*SBParams!K$41+K20+K21</f>
        <v>93186.887270399995</v>
      </c>
    </row>
    <row r="28" spans="1:11" s="18" customFormat="1" ht="18.75">
      <c r="A28" s="17" t="s">
        <v>68</v>
      </c>
      <c r="D28" s="19">
        <f>D27*(1+SBParams!D$42)</f>
        <v>0</v>
      </c>
      <c r="E28" s="19">
        <f>E27*(1+SBParams!E$42)</f>
        <v>9428.4999215999997</v>
      </c>
      <c r="F28" s="19">
        <f>F27*(1+SBParams!F$42)</f>
        <v>31382.42457888</v>
      </c>
      <c r="G28" s="19">
        <f>G27*(1+SBParams!G$42)</f>
        <v>51330.527781119999</v>
      </c>
      <c r="H28" s="19">
        <f>H27*(1+SBParams!H$42)</f>
        <v>68534.131518720009</v>
      </c>
      <c r="I28" s="19">
        <f>I27*(1+SBParams!I$42)</f>
        <v>77120.745615359992</v>
      </c>
      <c r="J28" s="19">
        <f>J27*(1+SBParams!J$42)</f>
        <v>92142.832988160022</v>
      </c>
      <c r="K28" s="19">
        <f>K27*(1+SBParams!K$42)</f>
        <v>107164.92036095998</v>
      </c>
    </row>
    <row r="29" spans="1:11" s="18" customFormat="1" ht="18.75">
      <c r="A29" s="18" t="s">
        <v>69</v>
      </c>
      <c r="D29" s="19">
        <f>D14+D15+D16+D17+D18+D20+D22</f>
        <v>0</v>
      </c>
      <c r="E29" s="19">
        <f t="shared" ref="E29:K29" si="3">E14+E15+E16+E17+E18+E20+E22</f>
        <v>24030.297216000003</v>
      </c>
      <c r="F29" s="19">
        <f t="shared" si="3"/>
        <v>93198.593260799986</v>
      </c>
      <c r="G29" s="19">
        <f t="shared" si="3"/>
        <v>194593.48087680002</v>
      </c>
      <c r="H29" s="19">
        <f t="shared" si="3"/>
        <v>298248.52510079992</v>
      </c>
      <c r="I29" s="19">
        <f t="shared" si="3"/>
        <v>401903.56932479999</v>
      </c>
      <c r="J29" s="19">
        <f t="shared" si="3"/>
        <v>505558.6135488</v>
      </c>
      <c r="K29" s="19">
        <f t="shared" si="3"/>
        <v>609213.65777280007</v>
      </c>
    </row>
    <row r="32" spans="1:11" s="16" customFormat="1" ht="23.25">
      <c r="A32" s="16" t="s">
        <v>82</v>
      </c>
      <c r="E32" s="16">
        <f>E13</f>
        <v>2016</v>
      </c>
      <c r="F32" s="16">
        <f t="shared" ref="F32:K32" si="4">F13</f>
        <v>2017</v>
      </c>
      <c r="G32" s="16">
        <f t="shared" si="4"/>
        <v>2018</v>
      </c>
      <c r="H32" s="16">
        <f t="shared" si="4"/>
        <v>2019</v>
      </c>
      <c r="I32" s="16">
        <f t="shared" si="4"/>
        <v>2020</v>
      </c>
      <c r="J32" s="16">
        <f t="shared" si="4"/>
        <v>2021</v>
      </c>
      <c r="K32" s="16">
        <f t="shared" si="4"/>
        <v>2022</v>
      </c>
    </row>
    <row r="33" spans="1:11">
      <c r="A33" s="4" t="s">
        <v>71</v>
      </c>
      <c r="D33" s="15">
        <f>D$10*SBParams!D22</f>
        <v>0</v>
      </c>
      <c r="E33" s="15">
        <f>E$10*SBParams!E22</f>
        <v>54.027647999999999</v>
      </c>
      <c r="F33" s="15">
        <f>F$10*SBParams!F22</f>
        <v>205.30506239999997</v>
      </c>
      <c r="G33" s="15">
        <f>G$10*SBParams!G22</f>
        <v>421.41565439999999</v>
      </c>
      <c r="H33" s="15">
        <f>H$10*SBParams!H22</f>
        <v>637.52624639999988</v>
      </c>
      <c r="I33" s="15">
        <f>I$10*SBParams!I22</f>
        <v>853.63683839999987</v>
      </c>
      <c r="J33" s="15">
        <f>J$10*SBParams!J22</f>
        <v>1069.7474304</v>
      </c>
      <c r="K33" s="15">
        <f>K$10*SBParams!K22</f>
        <v>1285.8580223999998</v>
      </c>
    </row>
    <row r="34" spans="1:11">
      <c r="A34" s="4" t="s">
        <v>72</v>
      </c>
      <c r="D34" s="15">
        <f>D$10*SBParams!D23*SBParams!D$45</f>
        <v>0</v>
      </c>
      <c r="E34" s="15">
        <f>E$10*SBParams!E23*SBParams!E$45</f>
        <v>58.529952000000009</v>
      </c>
      <c r="F34" s="15">
        <f>F$10*SBParams!F23*SBParams!F$45</f>
        <v>222.41381760000002</v>
      </c>
      <c r="G34" s="15">
        <f>G$10*SBParams!G23*SBParams!G$45</f>
        <v>456.53362560000005</v>
      </c>
      <c r="H34" s="15">
        <f>H$10*SBParams!H23*SBParams!H$45</f>
        <v>690.65343360000008</v>
      </c>
      <c r="I34" s="15">
        <f>I$10*SBParams!I23*SBParams!I$45</f>
        <v>924.77324160000001</v>
      </c>
      <c r="J34" s="15">
        <f>J$10*SBParams!J23*SBParams!J$45</f>
        <v>1158.8930496</v>
      </c>
      <c r="K34" s="15">
        <f>K$10*SBParams!K23*SBParams!K$45</f>
        <v>1393.0128576</v>
      </c>
    </row>
    <row r="35" spans="1:11">
      <c r="A35" s="4" t="s">
        <v>79</v>
      </c>
      <c r="D35" s="15">
        <f>D$8*SBParams!D24</f>
        <v>0</v>
      </c>
      <c r="E35" s="15">
        <f>E$8*SBParams!E24</f>
        <v>66.300000000000011</v>
      </c>
      <c r="F35" s="15">
        <f>F$8*SBParams!F24</f>
        <v>185.64000000000001</v>
      </c>
      <c r="G35" s="15">
        <f>G$8*SBParams!G24</f>
        <v>265.20000000000005</v>
      </c>
      <c r="H35" s="15">
        <f>H$8*SBParams!H24</f>
        <v>265.20000000000005</v>
      </c>
      <c r="I35" s="15">
        <f>I$8*SBParams!I24</f>
        <v>265.20000000000005</v>
      </c>
      <c r="J35" s="15">
        <f>J$8*SBParams!J24</f>
        <v>265.20000000000005</v>
      </c>
      <c r="K35" s="15">
        <f>K$8*SBParams!K24</f>
        <v>265.20000000000005</v>
      </c>
    </row>
    <row r="36" spans="1:11">
      <c r="A36" s="5" t="s">
        <v>80</v>
      </c>
      <c r="D36" s="15">
        <f>D$8*SBParams!D25*SBParams!D$45</f>
        <v>0</v>
      </c>
      <c r="E36" s="15">
        <f>E$8*SBParams!E25*SBParams!E$45</f>
        <v>210</v>
      </c>
      <c r="F36" s="15">
        <f>F$8*SBParams!F25*SBParams!F$45</f>
        <v>588</v>
      </c>
      <c r="G36" s="15">
        <f>G$8*SBParams!G25*SBParams!G$45</f>
        <v>840</v>
      </c>
      <c r="H36" s="15">
        <f>H$8*SBParams!H25*SBParams!H$45</f>
        <v>840</v>
      </c>
      <c r="I36" s="15">
        <f>I$8*SBParams!I25*SBParams!I$45</f>
        <v>840</v>
      </c>
      <c r="J36" s="15">
        <f>J$8*SBParams!J25*SBParams!J$45</f>
        <v>840</v>
      </c>
      <c r="K36" s="15">
        <f>K$8*SBParams!K25*SBParams!K$45</f>
        <v>840</v>
      </c>
    </row>
    <row r="37" spans="1:11">
      <c r="A37" s="4" t="s">
        <v>73</v>
      </c>
      <c r="D37" s="15">
        <f>D$8*SBParams!D26</f>
        <v>0</v>
      </c>
      <c r="E37" s="15">
        <f>E$8*SBParams!E26</f>
        <v>30.6</v>
      </c>
      <c r="F37" s="15">
        <f>F$8*SBParams!F26</f>
        <v>85.679999999999993</v>
      </c>
      <c r="G37" s="15">
        <f>G$8*SBParams!G26</f>
        <v>122.4</v>
      </c>
      <c r="H37" s="15">
        <f>H$8*SBParams!H26</f>
        <v>122.4</v>
      </c>
      <c r="I37" s="15">
        <f>I$8*SBParams!I26</f>
        <v>122.4</v>
      </c>
      <c r="J37" s="15">
        <f>J$8*SBParams!J26</f>
        <v>122.4</v>
      </c>
      <c r="K37" s="15">
        <f>K$8*SBParams!K26</f>
        <v>122.4</v>
      </c>
    </row>
    <row r="38" spans="1:11">
      <c r="A38" s="4" t="s">
        <v>74</v>
      </c>
      <c r="D38" s="15">
        <f>D$8*SBParams!D27*SBParams!D$45</f>
        <v>0</v>
      </c>
      <c r="E38" s="15">
        <f>E$8*SBParams!E27*SBParams!E$45</f>
        <v>30</v>
      </c>
      <c r="F38" s="15">
        <f>F$8*SBParams!F27*SBParams!F$45</f>
        <v>84</v>
      </c>
      <c r="G38" s="15">
        <f>G$8*SBParams!G27*SBParams!G$45</f>
        <v>120</v>
      </c>
      <c r="H38" s="15">
        <f>H$8*SBParams!H27*SBParams!H$45</f>
        <v>120</v>
      </c>
      <c r="I38" s="15">
        <f>I$8*SBParams!I27*SBParams!I$45</f>
        <v>120</v>
      </c>
      <c r="J38" s="15">
        <f>J$8*SBParams!J27*SBParams!J$45</f>
        <v>120</v>
      </c>
      <c r="K38" s="15">
        <f>K$8*SBParams!K27*SBParams!K$45</f>
        <v>120</v>
      </c>
    </row>
    <row r="39" spans="1:11">
      <c r="A39" s="4" t="s">
        <v>75</v>
      </c>
      <c r="D39" s="15">
        <v>0</v>
      </c>
      <c r="E39" s="15">
        <f>D35*SBPerf!D$10/SBParams!E$43+D39</f>
        <v>0</v>
      </c>
      <c r="F39" s="15">
        <f>E35*SBPerf!E$10/SBParams!F$43+E39</f>
        <v>66.300000000000011</v>
      </c>
      <c r="G39" s="15">
        <f>F35*SBPerf!F$10/SBParams!G$43+F39</f>
        <v>251.94000000000003</v>
      </c>
      <c r="H39" s="15">
        <f>G35*SBPerf!G$10/SBParams!H$43+G39</f>
        <v>517.1400000000001</v>
      </c>
      <c r="I39" s="15">
        <f>H35*SBPerf!H$10/SBParams!I$43+H39</f>
        <v>782.34000000000015</v>
      </c>
      <c r="J39" s="15">
        <f>I35*SBPerf!I$10/SBParams!J$43+I39</f>
        <v>1047.5400000000002</v>
      </c>
      <c r="K39" s="15">
        <f>J35*SBPerf!J$10/SBParams!K$43+J39</f>
        <v>1312.7400000000002</v>
      </c>
    </row>
    <row r="40" spans="1:11">
      <c r="A40" s="4" t="s">
        <v>76</v>
      </c>
      <c r="D40" s="15">
        <v>0</v>
      </c>
      <c r="E40" s="15">
        <f>D36*SBPerf!D$10/SBParams!E$43+D40</f>
        <v>0</v>
      </c>
      <c r="F40" s="15">
        <f>E36*SBPerf!E$10/SBParams!F$43+E40</f>
        <v>210</v>
      </c>
      <c r="G40" s="15">
        <f>F36*SBPerf!F$10/SBParams!G$43+F40</f>
        <v>798</v>
      </c>
      <c r="H40" s="15">
        <f>G36*SBPerf!G$10/SBParams!H$43+G40</f>
        <v>1638</v>
      </c>
      <c r="I40" s="15">
        <f>H36*SBPerf!H$10/SBParams!I$43+H40</f>
        <v>2478</v>
      </c>
      <c r="J40" s="15">
        <f>I36*SBPerf!I$10/SBParams!J$43+I40</f>
        <v>3318</v>
      </c>
      <c r="K40" s="15">
        <f>J36*SBPerf!J$10/SBParams!K$43+J40</f>
        <v>4158</v>
      </c>
    </row>
    <row r="41" spans="1:11">
      <c r="A41" s="4" t="s">
        <v>77</v>
      </c>
      <c r="D41" s="15">
        <v>0</v>
      </c>
      <c r="E41" s="15">
        <f>D37*SBPerf!D$10/SBParams!E$44+D41</f>
        <v>0</v>
      </c>
      <c r="F41" s="15">
        <f>E37*SBPerf!E$10/SBParams!F$44+E41</f>
        <v>45.900000000000006</v>
      </c>
      <c r="G41" s="15">
        <f>F37*SBPerf!F$10/SBParams!G$44+F41</f>
        <v>174.42</v>
      </c>
      <c r="H41" s="15">
        <f>G37*SBPerf!G$10/SBParams!H$44+G41</f>
        <v>358.02</v>
      </c>
      <c r="I41" s="15">
        <f>H37*SBPerf!H$10/SBParams!I$44+H41</f>
        <v>541.62</v>
      </c>
      <c r="J41" s="15">
        <f>I37*SBPerf!I$10/SBParams!J$44+I41</f>
        <v>725.22</v>
      </c>
      <c r="K41" s="15">
        <f>J37*SBPerf!J$10/SBParams!K$44+J41</f>
        <v>908.82</v>
      </c>
    </row>
    <row r="42" spans="1:11">
      <c r="A42" s="4" t="s">
        <v>78</v>
      </c>
      <c r="D42" s="15">
        <v>0</v>
      </c>
      <c r="E42" s="15">
        <f>D38*SBPerf!D$10/SBParams!E$44+D42</f>
        <v>0</v>
      </c>
      <c r="F42" s="15">
        <f>E38*SBPerf!E$10/SBParams!F$44+E42</f>
        <v>45</v>
      </c>
      <c r="G42" s="15">
        <f>F38*SBPerf!F$10/SBParams!G$44+F42</f>
        <v>171</v>
      </c>
      <c r="H42" s="15">
        <f>G38*SBPerf!G$10/SBParams!H$44+G42</f>
        <v>351</v>
      </c>
      <c r="I42" s="15">
        <f>H38*SBPerf!H$10/SBParams!I$44+H42</f>
        <v>531</v>
      </c>
      <c r="J42" s="15">
        <f>I38*SBPerf!I$10/SBParams!J$44+I42</f>
        <v>711</v>
      </c>
      <c r="K42" s="15">
        <f>J38*SBPerf!J$10/SBParams!K$44+J42</f>
        <v>891</v>
      </c>
    </row>
    <row r="44" spans="1:11" s="18" customFormat="1" ht="18.75">
      <c r="A44" s="17" t="s">
        <v>81</v>
      </c>
      <c r="D44" s="19">
        <f>SUM(D33:D42)</f>
        <v>0</v>
      </c>
      <c r="E44" s="19">
        <f t="shared" ref="E44:K44" si="5">SUM(E33:E42)</f>
        <v>449.45760000000007</v>
      </c>
      <c r="F44" s="19">
        <f t="shared" si="5"/>
        <v>1738.2388800000001</v>
      </c>
      <c r="G44" s="19">
        <f t="shared" si="5"/>
        <v>3620.9092800000003</v>
      </c>
      <c r="H44" s="19">
        <f t="shared" si="5"/>
        <v>5539.9396799999995</v>
      </c>
      <c r="I44" s="19">
        <f t="shared" si="5"/>
        <v>7458.9700800000001</v>
      </c>
      <c r="J44" s="19">
        <f t="shared" si="5"/>
        <v>9378.0004800000006</v>
      </c>
      <c r="K44" s="19">
        <f t="shared" si="5"/>
        <v>11297.030879999998</v>
      </c>
    </row>
    <row r="48" spans="1:11">
      <c r="E48" s="15"/>
      <c r="F48" s="15"/>
      <c r="G48" s="15"/>
      <c r="H48" s="15"/>
      <c r="I48" s="15"/>
      <c r="J48" s="15"/>
      <c r="K48" s="15"/>
    </row>
    <row r="50" spans="1:14" s="23" customFormat="1" ht="21">
      <c r="A50" s="23" t="s">
        <v>97</v>
      </c>
      <c r="D50" s="24">
        <f>D4</f>
        <v>2015</v>
      </c>
      <c r="E50" s="24">
        <f t="shared" ref="E50:K50" si="6">E4</f>
        <v>2016</v>
      </c>
      <c r="F50" s="24">
        <f t="shared" si="6"/>
        <v>2017</v>
      </c>
      <c r="G50" s="24">
        <f t="shared" si="6"/>
        <v>2018</v>
      </c>
      <c r="H50" s="24">
        <f t="shared" si="6"/>
        <v>2019</v>
      </c>
      <c r="I50" s="24">
        <f t="shared" si="6"/>
        <v>2020</v>
      </c>
      <c r="J50" s="24">
        <f t="shared" si="6"/>
        <v>2021</v>
      </c>
      <c r="K50" s="24">
        <f t="shared" si="6"/>
        <v>2022</v>
      </c>
    </row>
    <row r="51" spans="1:14">
      <c r="A51" t="s">
        <v>83</v>
      </c>
      <c r="D51" s="15">
        <f>(E28-D28)*Industry!H12</f>
        <v>1358.2696987056956</v>
      </c>
      <c r="E51" s="15">
        <f>(F28-E28)*Industry!I12</f>
        <v>2213.8776702894293</v>
      </c>
      <c r="F51" s="15">
        <f>(G28-F28)*Industry!J12</f>
        <v>1408.1246361842</v>
      </c>
      <c r="G51" s="15">
        <f>(H28-G28)*Industry!K12</f>
        <v>850.07444597245922</v>
      </c>
      <c r="H51" s="15">
        <f>(I28-H28)*Industry!L12</f>
        <v>297.00072918554554</v>
      </c>
      <c r="I51" s="15">
        <f>(J28-I28)*Industry!M12</f>
        <v>363.71724609698077</v>
      </c>
      <c r="J51" s="15">
        <f>(K28-J28)*Industry!N12</f>
        <v>254.60207226788532</v>
      </c>
      <c r="K51" s="15"/>
      <c r="M51" t="s">
        <v>89</v>
      </c>
      <c r="N51" s="15">
        <f>SUM(D51:J51)</f>
        <v>6745.666498702195</v>
      </c>
    </row>
    <row r="52" spans="1:14">
      <c r="A52" t="s">
        <v>88</v>
      </c>
      <c r="D52" s="15">
        <f>(E29-D29)*Industry!H8/Industry!H9</f>
        <v>384.48475545600002</v>
      </c>
      <c r="E52" s="15">
        <f>(F29-E29)*Industry!I8/Industry!I9</f>
        <v>553.34636835839979</v>
      </c>
      <c r="F52" s="15">
        <f>(G29-F29)*Industry!J8/Industry!J9</f>
        <v>811.15910092800027</v>
      </c>
      <c r="G52" s="15">
        <f>(H29-G29)*Industry!K8/Industry!K9</f>
        <v>414.62017689599963</v>
      </c>
      <c r="H52" s="15">
        <f>(I29-H29)*Industry!L8/Industry!L9</f>
        <v>414.62017689600026</v>
      </c>
      <c r="I52" s="15">
        <f>(J29-I29)*Industry!M8/Industry!M9</f>
        <v>207.31008844800004</v>
      </c>
      <c r="J52" s="15">
        <f>(K29-J29)*Industry!N8/Industry!N9</f>
        <v>207.31008844800013</v>
      </c>
      <c r="M52" t="s">
        <v>89</v>
      </c>
      <c r="N52" s="15">
        <f>SUM(D52:J52)</f>
        <v>2992.8507554304001</v>
      </c>
    </row>
    <row r="53" spans="1:14">
      <c r="A53" t="s">
        <v>70</v>
      </c>
      <c r="D53" s="15">
        <f>(E44-D44)*Industry!H14</f>
        <v>1618.7215463999996</v>
      </c>
      <c r="E53" s="15">
        <f>(F44-E44)*Industry!I14</f>
        <v>3249.0820459439988</v>
      </c>
      <c r="F53" s="15">
        <f>(G44-F44)*Industry!J14</f>
        <v>3322.4143483439989</v>
      </c>
      <c r="G53" s="15">
        <f>(H44-G44)*Industry!K14</f>
        <v>2370.606079060798</v>
      </c>
      <c r="H53" s="15">
        <f>(I44-H44)*Industry!L14</f>
        <v>1659.4242553425595</v>
      </c>
      <c r="I53" s="15">
        <f>(J44-I44)*Industry!M14</f>
        <v>1161.5969787397917</v>
      </c>
      <c r="J53" s="15">
        <f>(K44-J44)*Industry!N14</f>
        <v>813.11788511785289</v>
      </c>
      <c r="M53" t="s">
        <v>89</v>
      </c>
      <c r="N53" s="15">
        <f>SUM(D53:J53)</f>
        <v>14194.963138948999</v>
      </c>
    </row>
    <row r="54" spans="1:14" s="12" customFormat="1">
      <c r="A54" s="12" t="s">
        <v>90</v>
      </c>
    </row>
    <row r="55" spans="1:14">
      <c r="A55" t="s">
        <v>94</v>
      </c>
      <c r="D55">
        <v>0</v>
      </c>
      <c r="E55">
        <v>0</v>
      </c>
      <c r="F55">
        <v>0</v>
      </c>
      <c r="G55" s="15">
        <f>(E28-D28)*Industry!K12</f>
        <v>465.88650665605354</v>
      </c>
      <c r="H55" s="15">
        <f>(F28-E28)*Industry!L12</f>
        <v>759.36004090927406</v>
      </c>
      <c r="I55" s="15">
        <f>(G28-F28)*Industry!M12</f>
        <v>482.98675021118049</v>
      </c>
      <c r="J55" s="15">
        <f>(H28-G28)*Industry!N12</f>
        <v>291.57553496855348</v>
      </c>
      <c r="M55" t="s">
        <v>89</v>
      </c>
      <c r="N55" s="15">
        <f>SUM(G55:J55)</f>
        <v>1999.8088327450616</v>
      </c>
    </row>
    <row r="56" spans="1:14">
      <c r="A56" t="s">
        <v>93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M56" t="s">
        <v>89</v>
      </c>
      <c r="N56" s="15">
        <f>SUM(G57:J57)</f>
        <v>3622.3626387738359</v>
      </c>
    </row>
    <row r="57" spans="1:14">
      <c r="A57" t="s">
        <v>92</v>
      </c>
      <c r="D57">
        <v>0</v>
      </c>
      <c r="E57">
        <v>0</v>
      </c>
      <c r="F57">
        <v>0</v>
      </c>
      <c r="G57" s="15">
        <f>(E44-D44)*Industry!K14</f>
        <v>555.22149041519981</v>
      </c>
      <c r="H57" s="15">
        <f>(F44-E44)*Industry!L14</f>
        <v>1114.4351417587914</v>
      </c>
      <c r="I57" s="15">
        <f>(G44-F44)*Industry!M14</f>
        <v>1139.5881214819915</v>
      </c>
      <c r="J57" s="15">
        <f>(H44-G44)*Industry!N14</f>
        <v>813.11788511785346</v>
      </c>
      <c r="N57" s="15"/>
    </row>
    <row r="59" spans="1:14" s="23" customFormat="1" ht="21">
      <c r="A59" s="23" t="s">
        <v>91</v>
      </c>
      <c r="D59" s="25">
        <f>SUM(D51:D53)+SUM(D55:D57)</f>
        <v>3361.4760005616954</v>
      </c>
      <c r="E59" s="25">
        <f t="shared" ref="E59:J59" si="7">SUM(E51:E53)+SUM(E55:E57)</f>
        <v>6016.306084591828</v>
      </c>
      <c r="F59" s="25">
        <f t="shared" si="7"/>
        <v>5541.6980854561989</v>
      </c>
      <c r="G59" s="25">
        <f t="shared" si="7"/>
        <v>4656.4086990005098</v>
      </c>
      <c r="H59" s="25">
        <f t="shared" si="7"/>
        <v>4244.8403440921711</v>
      </c>
      <c r="I59" s="25">
        <f t="shared" si="7"/>
        <v>3355.1991849779447</v>
      </c>
      <c r="J59" s="25">
        <f t="shared" si="7"/>
        <v>2379.7234659201454</v>
      </c>
      <c r="M59" s="23" t="s">
        <v>95</v>
      </c>
      <c r="N59" s="25">
        <f>SUM(D59:J59)</f>
        <v>29555.651864600495</v>
      </c>
    </row>
    <row r="63" spans="1:14" s="18" customFormat="1" ht="18.75">
      <c r="A63" s="18" t="s">
        <v>87</v>
      </c>
    </row>
    <row r="64" spans="1:14">
      <c r="A64" t="s">
        <v>83</v>
      </c>
      <c r="D64" s="15">
        <f>D28*Industry!H12</f>
        <v>0</v>
      </c>
      <c r="E64" s="15">
        <f>E28*Industry!I12</f>
        <v>950.78878909398691</v>
      </c>
      <c r="F64" s="15">
        <f>F28*Industry!J12</f>
        <v>2215.2665215683915</v>
      </c>
      <c r="G64" s="15">
        <f>G28*Industry!K12</f>
        <v>2536.3738104268136</v>
      </c>
      <c r="H64" s="15">
        <f>H28*Industry!L12</f>
        <v>2370.5137794794909</v>
      </c>
      <c r="I64" s="15">
        <f>I28*Industry!M12</f>
        <v>1867.2601560655255</v>
      </c>
      <c r="J64" s="15">
        <f>J28*Industry!N12</f>
        <v>1561.6841815137543</v>
      </c>
      <c r="K64" s="15">
        <f>K28*Industry!O12</f>
        <v>1271.4003776471477</v>
      </c>
    </row>
    <row r="65" spans="1:13">
      <c r="A65" t="s">
        <v>84</v>
      </c>
      <c r="D65" s="15">
        <f>D29*Industry!H8/Industry!H9</f>
        <v>0</v>
      </c>
      <c r="E65" s="15">
        <f>E29*Industry!I8/Industry!I9</f>
        <v>192.24237772800001</v>
      </c>
      <c r="F65" s="15">
        <f>F29*Industry!J8/Industry!J9</f>
        <v>745.58874608639985</v>
      </c>
      <c r="G65" s="15">
        <f>G29*Industry!K8/Industry!K9</f>
        <v>778.37392350720006</v>
      </c>
      <c r="H65" s="15">
        <f>H29*Industry!L8/Industry!L9</f>
        <v>1192.9941004031996</v>
      </c>
      <c r="I65" s="15">
        <f>I29*Industry!M8/Industry!M9</f>
        <v>803.80713864960001</v>
      </c>
      <c r="J65" s="15">
        <f>J29*Industry!N8/Industry!N9</f>
        <v>1011.1172270976</v>
      </c>
      <c r="K65" s="15">
        <f>K29*Industry!O8/Industry!O9</f>
        <v>609.21365777280005</v>
      </c>
    </row>
    <row r="66" spans="1:13">
      <c r="A66" t="s">
        <v>70</v>
      </c>
      <c r="D66" s="15">
        <f>D44*Industry!H14</f>
        <v>0</v>
      </c>
      <c r="E66" s="15">
        <f>E44*Industry!I14</f>
        <v>1133.1050824799997</v>
      </c>
      <c r="F66" s="15">
        <f>F44*Industry!J14</f>
        <v>3067.5309898967989</v>
      </c>
      <c r="G66" s="15">
        <f>G44*Industry!K14</f>
        <v>4472.9617367685587</v>
      </c>
      <c r="H66" s="15">
        <f>H44*Industry!L14</f>
        <v>4790.4974710805482</v>
      </c>
      <c r="I66" s="15">
        <f>I44*Industry!M14</f>
        <v>4514.9452084961758</v>
      </c>
      <c r="J66" s="15">
        <f>J44*Industry!N14</f>
        <v>3973.5795310651765</v>
      </c>
      <c r="K66" s="15">
        <f>K44*Industry!O14</f>
        <v>3350.6881913281209</v>
      </c>
    </row>
    <row r="67" spans="1:13" s="18" customFormat="1" ht="18.75">
      <c r="A67" s="18" t="s">
        <v>85</v>
      </c>
      <c r="D67" s="19"/>
      <c r="E67" s="19">
        <f>SUM(E64:E66)</f>
        <v>2276.1362493019869</v>
      </c>
      <c r="F67" s="19">
        <f t="shared" ref="F67:K67" si="8">SUM(F64:F66)</f>
        <v>6028.3862575515905</v>
      </c>
      <c r="G67" s="19">
        <f t="shared" si="8"/>
        <v>7787.7094707025726</v>
      </c>
      <c r="H67" s="19">
        <f t="shared" si="8"/>
        <v>8354.005350963238</v>
      </c>
      <c r="I67" s="19">
        <f t="shared" si="8"/>
        <v>7186.012503211301</v>
      </c>
      <c r="J67" s="19">
        <f t="shared" si="8"/>
        <v>6546.3809396765309</v>
      </c>
      <c r="K67" s="19">
        <f t="shared" si="8"/>
        <v>5231.3022267480683</v>
      </c>
    </row>
    <row r="70" spans="1:13" s="12" customFormat="1">
      <c r="A70" s="12" t="s">
        <v>86</v>
      </c>
    </row>
    <row r="71" spans="1:13">
      <c r="A71" t="s">
        <v>83</v>
      </c>
      <c r="D71">
        <f>D28*Industry!$D$12</f>
        <v>0</v>
      </c>
      <c r="E71" s="15">
        <f>E28*Industry!$D$12</f>
        <v>5657.0999529600003</v>
      </c>
      <c r="F71" s="15">
        <f>F28*Industry!$D$12</f>
        <v>18829.454747328004</v>
      </c>
      <c r="G71" s="15">
        <f>G28*Industry!$D$12</f>
        <v>30798.316668672003</v>
      </c>
      <c r="H71" s="15">
        <f>H28*Industry!$D$12</f>
        <v>41120.478911232014</v>
      </c>
      <c r="I71" s="15">
        <f>I28*Industry!$D$12</f>
        <v>46272.447369216003</v>
      </c>
      <c r="J71" s="15">
        <f>J28*Industry!$D$12</f>
        <v>55285.699792896019</v>
      </c>
      <c r="K71" s="15">
        <f>K28*Industry!$D$12</f>
        <v>64298.952216575999</v>
      </c>
    </row>
    <row r="72" spans="1:13">
      <c r="A72" t="s">
        <v>84</v>
      </c>
      <c r="D72">
        <v>0</v>
      </c>
      <c r="E72" s="15">
        <f>E29*Industry!$D$8/Industry!$D$9</f>
        <v>1922.4237772800002</v>
      </c>
      <c r="F72" s="15">
        <f>F29*Industry!$D$8/Industry!$D$9</f>
        <v>7455.887460863999</v>
      </c>
      <c r="G72" s="15">
        <f>G29*Industry!$D$8/Industry!$D$9</f>
        <v>15567.478470144002</v>
      </c>
      <c r="H72" s="15">
        <f>H29*Industry!$D$8/Industry!$D$9</f>
        <v>23859.882008063993</v>
      </c>
      <c r="I72" s="15">
        <f>I29*Industry!$D$8/Industry!$D$9</f>
        <v>32152.285545983999</v>
      </c>
      <c r="J72" s="15">
        <f>J29*Industry!$D$8/Industry!$D$9</f>
        <v>40444.689083903999</v>
      </c>
      <c r="K72" s="15">
        <f>K29*Industry!$D$8/Industry!$D$9</f>
        <v>48737.092621824006</v>
      </c>
    </row>
    <row r="73" spans="1:13">
      <c r="A73" t="s">
        <v>70</v>
      </c>
      <c r="D73">
        <v>0</v>
      </c>
      <c r="E73" s="15">
        <f>E44*Industry!$D$14</f>
        <v>6741.8640000000014</v>
      </c>
      <c r="F73" s="15">
        <f>F44*Industry!$D$14</f>
        <v>26073.583200000001</v>
      </c>
      <c r="G73" s="15">
        <f>G44*Industry!$D$14</f>
        <v>54313.639200000005</v>
      </c>
      <c r="H73" s="15">
        <f>H44*Industry!$D$14</f>
        <v>83099.095199999996</v>
      </c>
      <c r="I73" s="15">
        <f>I44*Industry!$D$14</f>
        <v>111884.5512</v>
      </c>
      <c r="J73" s="15">
        <f>J44*Industry!$D$14</f>
        <v>140670.00720000002</v>
      </c>
      <c r="K73" s="15">
        <f>K44*Industry!$D$14</f>
        <v>169455.46319999997</v>
      </c>
    </row>
    <row r="76" spans="1:13">
      <c r="A76" s="34" t="s">
        <v>107</v>
      </c>
      <c r="D76" s="33" t="s">
        <v>110</v>
      </c>
      <c r="F76" s="37">
        <v>0.2</v>
      </c>
    </row>
    <row r="78" spans="1:13" ht="21">
      <c r="D78" s="24">
        <f>D50</f>
        <v>2015</v>
      </c>
      <c r="E78" s="24">
        <f t="shared" ref="E78:K78" si="9">E50</f>
        <v>2016</v>
      </c>
      <c r="F78" s="24">
        <f t="shared" si="9"/>
        <v>2017</v>
      </c>
      <c r="G78" s="24">
        <f t="shared" si="9"/>
        <v>2018</v>
      </c>
      <c r="H78" s="24">
        <f t="shared" si="9"/>
        <v>2019</v>
      </c>
      <c r="I78" s="24">
        <f t="shared" si="9"/>
        <v>2020</v>
      </c>
      <c r="J78" s="24">
        <f t="shared" si="9"/>
        <v>2021</v>
      </c>
      <c r="K78" s="24">
        <f t="shared" si="9"/>
        <v>2022</v>
      </c>
      <c r="M78" s="12" t="s">
        <v>85</v>
      </c>
    </row>
    <row r="79" spans="1:13">
      <c r="A79" t="s">
        <v>108</v>
      </c>
      <c r="D79" s="32">
        <f>D14/SBParams!D28</f>
        <v>0</v>
      </c>
      <c r="E79" s="32">
        <f>E14/SBParams!E28</f>
        <v>9848.7900000000009</v>
      </c>
      <c r="F79" s="32">
        <f>F14/SBParams!F28</f>
        <v>37425.402000000002</v>
      </c>
      <c r="G79" s="32">
        <f>G14/SBParams!G28</f>
        <v>76820.562000000005</v>
      </c>
      <c r="H79" s="32">
        <f>H14/SBParams!H28</f>
        <v>116215.72199999999</v>
      </c>
      <c r="I79" s="32">
        <f>I14/SBParams!I28</f>
        <v>155610.88199999998</v>
      </c>
      <c r="J79" s="32">
        <f>J14/SBParams!J28</f>
        <v>195006.04199999999</v>
      </c>
      <c r="K79" s="32">
        <f>K14/SBParams!K28</f>
        <v>234401.20199999999</v>
      </c>
    </row>
    <row r="80" spans="1:13">
      <c r="A80" t="s">
        <v>109</v>
      </c>
      <c r="D80" s="32">
        <f>(E79-D79)*Industry!H8/Industry!H9</f>
        <v>157.58064000000002</v>
      </c>
      <c r="E80" s="32">
        <f>(F79-E79)*Industry!I8/Industry!I9</f>
        <v>220.61289600000001</v>
      </c>
      <c r="F80" s="32">
        <f>(G79-F79)*Industry!J8/Industry!J9</f>
        <v>315.16128000000003</v>
      </c>
      <c r="G80" s="32">
        <f>(H79-G79)*Industry!K8/Industry!K9</f>
        <v>157.58063999999996</v>
      </c>
      <c r="H80" s="32">
        <f>(I79-H79)*Industry!L8/Industry!L9</f>
        <v>157.58063999999996</v>
      </c>
      <c r="I80" s="32">
        <f>(J79-I79)*Industry!M8/Industry!M9</f>
        <v>78.790320000000008</v>
      </c>
      <c r="J80" s="32">
        <f>(K79-J79)*Industry!N8/Industry!N9</f>
        <v>78.790320000000008</v>
      </c>
      <c r="K80" s="32"/>
    </row>
    <row r="81" spans="1:13">
      <c r="A81" s="12" t="s">
        <v>115</v>
      </c>
      <c r="D81" s="35">
        <f>D80</f>
        <v>157.58064000000002</v>
      </c>
      <c r="E81" s="35">
        <f t="shared" ref="E81:J81" si="10">E80</f>
        <v>220.61289600000001</v>
      </c>
      <c r="F81" s="35">
        <f t="shared" si="10"/>
        <v>315.16128000000003</v>
      </c>
      <c r="G81" s="35">
        <f t="shared" si="10"/>
        <v>157.58063999999996</v>
      </c>
      <c r="H81" s="35">
        <f t="shared" si="10"/>
        <v>157.58063999999996</v>
      </c>
      <c r="I81" s="35">
        <f t="shared" si="10"/>
        <v>78.790320000000008</v>
      </c>
      <c r="J81" s="35">
        <f t="shared" si="10"/>
        <v>78.790320000000008</v>
      </c>
      <c r="K81" s="32"/>
      <c r="M81" s="35">
        <f>SUM(D81:K81)</f>
        <v>1166.096736</v>
      </c>
    </row>
    <row r="82" spans="1:13">
      <c r="D82" s="32"/>
      <c r="E82" s="32"/>
      <c r="F82" s="32"/>
      <c r="G82" s="32"/>
      <c r="H82" s="32"/>
      <c r="I82" s="32"/>
      <c r="J82" s="32"/>
      <c r="K82" s="32"/>
    </row>
    <row r="83" spans="1:13">
      <c r="A83" t="s">
        <v>112</v>
      </c>
      <c r="D83" s="32">
        <f>$F$76*D28</f>
        <v>0</v>
      </c>
      <c r="E83" s="32">
        <f t="shared" ref="E83:K83" si="11">$F$76*E28</f>
        <v>1885.6999843200001</v>
      </c>
      <c r="F83" s="32">
        <f t="shared" si="11"/>
        <v>6276.484915776</v>
      </c>
      <c r="G83" s="32">
        <f t="shared" si="11"/>
        <v>10266.105556224</v>
      </c>
      <c r="H83" s="32">
        <f t="shared" si="11"/>
        <v>13706.826303744003</v>
      </c>
      <c r="I83" s="32">
        <f t="shared" si="11"/>
        <v>15424.149123071998</v>
      </c>
      <c r="J83" s="32">
        <f t="shared" si="11"/>
        <v>18428.566597632005</v>
      </c>
      <c r="K83" s="32">
        <f t="shared" si="11"/>
        <v>21432.984072191997</v>
      </c>
    </row>
    <row r="84" spans="1:13">
      <c r="A84" t="s">
        <v>109</v>
      </c>
      <c r="D84" s="32">
        <f>(E83-D83)*Industry!H12</f>
        <v>271.65393974113914</v>
      </c>
      <c r="E84" s="32">
        <f>(F83-E83)*Industry!I12</f>
        <v>442.77553405788581</v>
      </c>
      <c r="F84" s="32">
        <f>(G83-F83)*Industry!J12</f>
        <v>281.62492723683999</v>
      </c>
      <c r="G84" s="32">
        <f>(H83-G83)*Industry!K12</f>
        <v>170.0148891944919</v>
      </c>
      <c r="H84" s="32">
        <f>(I83-H83)*Industry!L12</f>
        <v>59.400145837109065</v>
      </c>
      <c r="I84" s="32">
        <f>(J83-I83)*Industry!M12</f>
        <v>72.743449219396169</v>
      </c>
      <c r="J84" s="32">
        <f>(K83-J83)*Industry!N12</f>
        <v>50.920414453577074</v>
      </c>
    </row>
    <row r="85" spans="1:13">
      <c r="A85" t="s">
        <v>111</v>
      </c>
      <c r="G85" s="32">
        <f>(E83-D83)*Industry!K12</f>
        <v>93.177301331210714</v>
      </c>
      <c r="H85" s="32">
        <f>(F83-E83)*Industry!L12</f>
        <v>151.87200818185482</v>
      </c>
      <c r="I85" s="32">
        <f>(G83-F83)*Industry!M12</f>
        <v>96.597350042236101</v>
      </c>
      <c r="J85" s="32">
        <f>(H83-G83)*Industry!N12</f>
        <v>58.315106993710714</v>
      </c>
      <c r="K85" s="32"/>
    </row>
    <row r="86" spans="1:13">
      <c r="A86" s="12" t="s">
        <v>116</v>
      </c>
      <c r="D86" s="35">
        <f>D84+D85</f>
        <v>271.65393974113914</v>
      </c>
      <c r="E86" s="35">
        <f t="shared" ref="E86:J86" si="12">E84+E85</f>
        <v>442.77553405788581</v>
      </c>
      <c r="F86" s="35">
        <f t="shared" si="12"/>
        <v>281.62492723683999</v>
      </c>
      <c r="G86" s="35">
        <f t="shared" si="12"/>
        <v>263.19219052570259</v>
      </c>
      <c r="H86" s="35">
        <f t="shared" si="12"/>
        <v>211.27215401896387</v>
      </c>
      <c r="I86" s="35">
        <f t="shared" si="12"/>
        <v>169.34079926163227</v>
      </c>
      <c r="J86" s="35">
        <f t="shared" si="12"/>
        <v>109.23552144728779</v>
      </c>
      <c r="K86" s="32"/>
      <c r="M86" s="35">
        <f>SUM(D86:K86)</f>
        <v>1749.0950662894516</v>
      </c>
    </row>
    <row r="88" spans="1:13">
      <c r="A88" t="s">
        <v>113</v>
      </c>
      <c r="D88" s="15">
        <f>(D29-D14)*$F$76</f>
        <v>0</v>
      </c>
      <c r="E88" s="15">
        <f t="shared" ref="E88:K88" si="13">(E29-E14)*$F$76</f>
        <v>866.54344320000018</v>
      </c>
      <c r="F88" s="15">
        <f t="shared" si="13"/>
        <v>3669.5578521599964</v>
      </c>
      <c r="G88" s="15">
        <f t="shared" si="13"/>
        <v>8190.4713753600026</v>
      </c>
      <c r="H88" s="15">
        <f t="shared" si="13"/>
        <v>13163.416220159987</v>
      </c>
      <c r="I88" s="15">
        <f t="shared" si="13"/>
        <v>18136.361064960005</v>
      </c>
      <c r="J88" s="15">
        <f t="shared" si="13"/>
        <v>23109.305909760005</v>
      </c>
      <c r="K88" s="15">
        <f t="shared" si="13"/>
        <v>28082.25075456002</v>
      </c>
    </row>
    <row r="89" spans="1:13">
      <c r="A89" t="s">
        <v>109</v>
      </c>
      <c r="D89" s="15">
        <f>(E88-D88)*Industry!H8/Industry!H9</f>
        <v>13.864695091200002</v>
      </c>
      <c r="E89" s="15">
        <f>(F88-E88)*Industry!I8/Industry!I9</f>
        <v>22.42411527167997</v>
      </c>
      <c r="F89" s="15">
        <f>(G88-F88)*Industry!J8/Industry!J9</f>
        <v>36.167308185600049</v>
      </c>
      <c r="G89" s="15">
        <f>(H88-G88)*Industry!K8/Industry!K9</f>
        <v>19.891779379199939</v>
      </c>
      <c r="H89" s="15">
        <f>(I88-H88)*Industry!L8/Industry!L9</f>
        <v>19.891779379200074</v>
      </c>
      <c r="I89" s="15">
        <f>(J88-I88)*Industry!M8/Industry!M9</f>
        <v>9.9458896896000013</v>
      </c>
      <c r="J89" s="15">
        <f>(K88-J88)*Industry!N8/Industry!N9</f>
        <v>9.9458896896000297</v>
      </c>
      <c r="K89" s="15"/>
    </row>
    <row r="90" spans="1:13">
      <c r="A90" s="12" t="s">
        <v>117</v>
      </c>
      <c r="D90" s="36">
        <f>D89</f>
        <v>13.864695091200002</v>
      </c>
      <c r="E90" s="36">
        <f t="shared" ref="E90:J90" si="14">E89</f>
        <v>22.42411527167997</v>
      </c>
      <c r="F90" s="36">
        <f t="shared" si="14"/>
        <v>36.167308185600049</v>
      </c>
      <c r="G90" s="36">
        <f t="shared" si="14"/>
        <v>19.891779379199939</v>
      </c>
      <c r="H90" s="36">
        <f t="shared" si="14"/>
        <v>19.891779379200074</v>
      </c>
      <c r="I90" s="36">
        <f t="shared" si="14"/>
        <v>9.9458896896000013</v>
      </c>
      <c r="J90" s="36">
        <f t="shared" si="14"/>
        <v>9.9458896896000297</v>
      </c>
      <c r="K90" s="15"/>
      <c r="M90" s="35">
        <f>SUM(D90:K90)</f>
        <v>132.13145668608004</v>
      </c>
    </row>
    <row r="92" spans="1:13">
      <c r="A92" t="s">
        <v>114</v>
      </c>
      <c r="D92" s="32">
        <f>D44*$F$76</f>
        <v>0</v>
      </c>
      <c r="E92" s="32">
        <f t="shared" ref="E92:K92" si="15">E44*$F$76</f>
        <v>89.891520000000014</v>
      </c>
      <c r="F92" s="32">
        <f t="shared" si="15"/>
        <v>347.64777600000002</v>
      </c>
      <c r="G92" s="32">
        <f t="shared" si="15"/>
        <v>724.18185600000015</v>
      </c>
      <c r="H92" s="32">
        <f t="shared" si="15"/>
        <v>1107.987936</v>
      </c>
      <c r="I92" s="32">
        <f t="shared" si="15"/>
        <v>1491.7940160000001</v>
      </c>
      <c r="J92" s="32">
        <f t="shared" si="15"/>
        <v>1875.6000960000001</v>
      </c>
      <c r="K92" s="32">
        <f t="shared" si="15"/>
        <v>2259.406176</v>
      </c>
    </row>
    <row r="93" spans="1:13">
      <c r="A93" t="s">
        <v>109</v>
      </c>
      <c r="D93" s="32">
        <f>(E92-D92)*Industry!H14</f>
        <v>323.74430927999992</v>
      </c>
      <c r="E93" s="32">
        <f>(F92-E92)*Industry!I14</f>
        <v>649.81640918879975</v>
      </c>
      <c r="F93" s="32">
        <f>(G92-F92)*Industry!J14</f>
        <v>664.48286966879994</v>
      </c>
      <c r="G93" s="32">
        <f>(H92-G92)*Industry!K14</f>
        <v>474.12121581215956</v>
      </c>
      <c r="H93" s="32">
        <f>(I92-H92)*Industry!L14</f>
        <v>331.88485106851186</v>
      </c>
      <c r="I93" s="32">
        <f>(J92-I92)*Industry!M14</f>
        <v>232.31939574795831</v>
      </c>
      <c r="J93" s="32">
        <f>(K92-J92)*Industry!N14</f>
        <v>162.6235770235707</v>
      </c>
    </row>
    <row r="94" spans="1:13">
      <c r="A94" t="s">
        <v>111</v>
      </c>
      <c r="G94" s="32">
        <f>(E92-D92)*Industry!K14</f>
        <v>111.04429808303996</v>
      </c>
      <c r="H94" s="32">
        <f>(F92-E92)*Industry!L14</f>
        <v>222.88702835175826</v>
      </c>
      <c r="I94" s="32">
        <f>(G92-F92)*Industry!M14</f>
        <v>227.91762429639834</v>
      </c>
      <c r="J94" s="32">
        <f>(H92-G92)*Industry!N14</f>
        <v>162.6235770235707</v>
      </c>
    </row>
    <row r="95" spans="1:13">
      <c r="A95" s="12" t="s">
        <v>118</v>
      </c>
      <c r="D95" s="35">
        <f>D93+D94</f>
        <v>323.74430927999992</v>
      </c>
      <c r="E95" s="35">
        <f t="shared" ref="E95:J95" si="16">E93+E94</f>
        <v>649.81640918879975</v>
      </c>
      <c r="F95" s="35">
        <f t="shared" si="16"/>
        <v>664.48286966879994</v>
      </c>
      <c r="G95" s="35">
        <f t="shared" si="16"/>
        <v>585.16551389519952</v>
      </c>
      <c r="H95" s="35">
        <f t="shared" si="16"/>
        <v>554.77187942027012</v>
      </c>
      <c r="I95" s="35">
        <f t="shared" si="16"/>
        <v>460.23702004435665</v>
      </c>
      <c r="J95" s="35">
        <f t="shared" si="16"/>
        <v>325.24715404714141</v>
      </c>
      <c r="M95" s="35">
        <f>SUM(D95:K95)</f>
        <v>3563.4651555445676</v>
      </c>
    </row>
    <row r="97" spans="1:13" s="12" customFormat="1">
      <c r="A97" s="12" t="s">
        <v>119</v>
      </c>
      <c r="D97" s="35">
        <f>D86+D90+D95</f>
        <v>609.26294411233903</v>
      </c>
      <c r="E97" s="35">
        <f t="shared" ref="E97:J97" si="17">E86+E90+E95</f>
        <v>1115.0160585183655</v>
      </c>
      <c r="F97" s="35">
        <f t="shared" si="17"/>
        <v>982.27510509123999</v>
      </c>
      <c r="G97" s="35">
        <f t="shared" si="17"/>
        <v>868.2494838001021</v>
      </c>
      <c r="H97" s="35">
        <f t="shared" si="17"/>
        <v>785.9358128184341</v>
      </c>
      <c r="I97" s="35">
        <f t="shared" si="17"/>
        <v>639.52370899558889</v>
      </c>
      <c r="J97" s="35">
        <f t="shared" si="17"/>
        <v>444.42856518402925</v>
      </c>
      <c r="M97" s="35">
        <f>SUM(D97:K97)</f>
        <v>5444.6916785200992</v>
      </c>
    </row>
    <row r="99" spans="1:13" s="12" customFormat="1">
      <c r="A99" s="12" t="s">
        <v>120</v>
      </c>
      <c r="D99" s="35">
        <f>D81+D97</f>
        <v>766.84358411233904</v>
      </c>
      <c r="E99" s="35">
        <f t="shared" ref="E99:J99" si="18">E81+E97</f>
        <v>1335.6289545183656</v>
      </c>
      <c r="F99" s="35">
        <f t="shared" si="18"/>
        <v>1297.43638509124</v>
      </c>
      <c r="G99" s="35">
        <f t="shared" si="18"/>
        <v>1025.830123800102</v>
      </c>
      <c r="H99" s="35">
        <f t="shared" si="18"/>
        <v>943.51645281843412</v>
      </c>
      <c r="I99" s="35">
        <f t="shared" si="18"/>
        <v>718.31402899558884</v>
      </c>
      <c r="J99" s="35">
        <f t="shared" si="18"/>
        <v>523.2188851840292</v>
      </c>
      <c r="M99" s="35">
        <f>SUM(D99:K99)</f>
        <v>6610.7884145200987</v>
      </c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BaBar</vt:lpstr>
      <vt:lpstr>SBParams</vt:lpstr>
      <vt:lpstr>SBPerf</vt:lpstr>
      <vt:lpstr>Industry</vt:lpstr>
      <vt:lpstr>SBEstimates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Luitz</dc:creator>
  <cp:lastModifiedBy>Nicolas Arnaud</cp:lastModifiedBy>
  <dcterms:created xsi:type="dcterms:W3CDTF">2011-06-10T22:23:43Z</dcterms:created>
  <dcterms:modified xsi:type="dcterms:W3CDTF">2011-09-20T18:50:46Z</dcterms:modified>
</cp:coreProperties>
</file>