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9020" windowHeight="5595" activeTab="4"/>
  </bookViews>
  <sheets>
    <sheet name="Explanations" sheetId="1" r:id="rId1"/>
    <sheet name="BALANCE" sheetId="2" r:id="rId2"/>
    <sheet name="ASGC" sheetId="3" r:id="rId3"/>
    <sheet name="BNL" sheetId="4" r:id="rId4"/>
    <sheet name="CERN" sheetId="5" r:id="rId5"/>
    <sheet name="CNAF" sheetId="6" r:id="rId6"/>
    <sheet name="FNAL" sheetId="7" r:id="rId7"/>
    <sheet name="FZK" sheetId="8" r:id="rId8"/>
    <sheet name="IN2P3" sheetId="9" r:id="rId9"/>
    <sheet name="NDGF" sheetId="10" r:id="rId10"/>
    <sheet name="NIKHEF" sheetId="11" r:id="rId11"/>
    <sheet name="PIC" sheetId="12" r:id="rId12"/>
    <sheet name="RAL" sheetId="13" r:id="rId13"/>
    <sheet name="TRIUMF" sheetId="14" r:id="rId14"/>
    <sheet name="ALICE UST1" sheetId="15" r:id="rId15"/>
    <sheet name="T2 Network" sheetId="16" r:id="rId16"/>
  </sheets>
  <externalReferences>
    <externalReference r:id="rId19"/>
  </externalReferences>
  <definedNames>
    <definedName name="_xlnm.Print_Area" localSheetId="14">'ALICE UST1'!$A$1:$L$104</definedName>
    <definedName name="_xlnm.Print_Area" localSheetId="2">'ASGC'!$A$1:$L$108</definedName>
    <definedName name="_xlnm.Print_Area" localSheetId="3">'BNL'!$A$1:$L$104</definedName>
    <definedName name="_xlnm.Print_Area" localSheetId="4">'CERN'!$A$1:$L$104</definedName>
    <definedName name="_xlnm.Print_Area" localSheetId="5">'CNAF'!$A$1:$L$104</definedName>
    <definedName name="_xlnm.Print_Area" localSheetId="6">'FNAL'!$A$1:$L$104</definedName>
    <definedName name="_xlnm.Print_Area" localSheetId="7">'FZK'!$A$1:$L$104</definedName>
    <definedName name="_xlnm.Print_Area" localSheetId="8">'IN2P3'!$A$1:$L$104</definedName>
    <definedName name="_xlnm.Print_Area" localSheetId="9">'NDGF'!$A$1:$L$104</definedName>
    <definedName name="_xlnm.Print_Area" localSheetId="10">'NIKHEF'!$A$1:$L$104</definedName>
    <definedName name="_xlnm.Print_Area" localSheetId="11">'PIC'!$A$1:$L$104</definedName>
    <definedName name="_xlnm.Print_Area" localSheetId="12">'RAL'!$A$1:$L$104</definedName>
    <definedName name="_xlnm.Print_Area" localSheetId="15">'T2 Network'!$A$1:$F$93</definedName>
    <definedName name="_xlnm.Print_Area" localSheetId="13">'TRIUMF'!$A$1:$L$104</definedName>
    <definedName name="_xlnm.Print_Titles" localSheetId="14">'ALICE UST1'!$1:$3</definedName>
    <definedName name="_xlnm.Print_Titles" localSheetId="2">'ASGC'!$1:$3</definedName>
    <definedName name="_xlnm.Print_Titles" localSheetId="3">'BNL'!$1:$3</definedName>
    <definedName name="_xlnm.Print_Titles" localSheetId="4">'CERN'!$1:$3</definedName>
    <definedName name="_xlnm.Print_Titles" localSheetId="5">'CNAF'!$1:$3</definedName>
    <definedName name="_xlnm.Print_Titles" localSheetId="6">'FNAL'!$1:$3</definedName>
    <definedName name="_xlnm.Print_Titles" localSheetId="7">'FZK'!$1:$3</definedName>
    <definedName name="_xlnm.Print_Titles" localSheetId="8">'IN2P3'!$1:$3</definedName>
    <definedName name="_xlnm.Print_Titles" localSheetId="9">'NDGF'!$1:$3</definedName>
    <definedName name="_xlnm.Print_Titles" localSheetId="10">'NIKHEF'!$1:$3</definedName>
    <definedName name="_xlnm.Print_Titles" localSheetId="11">'PIC'!$1:$3</definedName>
    <definedName name="_xlnm.Print_Titles" localSheetId="12">'RAL'!$1:$3</definedName>
    <definedName name="_xlnm.Print_Titles" localSheetId="15">'T2 Network'!$1:$3</definedName>
    <definedName name="_xlnm.Print_Titles" localSheetId="13">'TRIUMF'!$1:$3</definedName>
  </definedNames>
  <calcPr fullCalcOnLoad="1"/>
</workbook>
</file>

<file path=xl/comments5.xml><?xml version="1.0" encoding="utf-8"?>
<comments xmlns="http://schemas.openxmlformats.org/spreadsheetml/2006/main">
  <authors>
    <author>Nick Brook</author>
  </authors>
  <commentList>
    <comment ref="F44" authorId="0">
      <text>
        <r>
          <rPr>
            <b/>
            <sz val="9"/>
            <rFont val="Arial"/>
            <family val="0"/>
          </rPr>
          <t>Nick Brook:</t>
        </r>
        <r>
          <rPr>
            <sz val="9"/>
            <rFont val="Arial"/>
            <family val="0"/>
          </rPr>
          <t xml:space="preserve">
Peak for 1 month in Nov'08</t>
        </r>
      </text>
    </comment>
  </commentList>
</comments>
</file>

<file path=xl/comments8.xml><?xml version="1.0" encoding="utf-8"?>
<comments xmlns="http://schemas.openxmlformats.org/spreadsheetml/2006/main">
  <authors>
    <author>Nick Brook</author>
  </authors>
  <commentList>
    <comment ref="F50" authorId="0">
      <text>
        <r>
          <rPr>
            <b/>
            <sz val="9"/>
            <rFont val="Arial"/>
            <family val="0"/>
          </rPr>
          <t>Nick Brook:</t>
        </r>
        <r>
          <rPr>
            <sz val="9"/>
            <rFont val="Arial"/>
            <family val="0"/>
          </rPr>
          <t xml:space="preserve">
Peak for 1 month in Nov'08</t>
        </r>
      </text>
    </comment>
  </commentList>
</comments>
</file>

<file path=xl/sharedStrings.xml><?xml version="1.0" encoding="utf-8"?>
<sst xmlns="http://schemas.openxmlformats.org/spreadsheetml/2006/main" count="3122" uniqueCount="156">
  <si>
    <t>Tier-2</t>
  </si>
  <si>
    <t>Experiment</t>
  </si>
  <si>
    <t>Pledge for 2008</t>
  </si>
  <si>
    <t>Australia</t>
  </si>
  <si>
    <t>ATLAS</t>
  </si>
  <si>
    <t>ASGC</t>
  </si>
  <si>
    <t>BNL</t>
  </si>
  <si>
    <t>CNAF</t>
  </si>
  <si>
    <t>FNAL</t>
  </si>
  <si>
    <t>FZK</t>
  </si>
  <si>
    <t>IN2P3</t>
  </si>
  <si>
    <t>NDGF</t>
  </si>
  <si>
    <t>NIKHEF</t>
  </si>
  <si>
    <t>PIC</t>
  </si>
  <si>
    <t>RAL</t>
  </si>
  <si>
    <t>TRIUMF</t>
  </si>
  <si>
    <t>China</t>
  </si>
  <si>
    <t>CMS</t>
  </si>
  <si>
    <t>Czech R.</t>
  </si>
  <si>
    <t>ALICE</t>
  </si>
  <si>
    <t>Finland</t>
  </si>
  <si>
    <t>CC-IN2P3</t>
  </si>
  <si>
    <t>FR/GRIF</t>
  </si>
  <si>
    <t>LHCb</t>
  </si>
  <si>
    <t>FR/LPC</t>
  </si>
  <si>
    <t>FR/Suba</t>
  </si>
  <si>
    <t>DESY</t>
  </si>
  <si>
    <t>D/GSI</t>
  </si>
  <si>
    <t>D/CMSF</t>
  </si>
  <si>
    <t>D/ATLASF</t>
  </si>
  <si>
    <t>I/VECC</t>
  </si>
  <si>
    <t>I/TIFR</t>
  </si>
  <si>
    <t>INFN</t>
  </si>
  <si>
    <t>Japan</t>
  </si>
  <si>
    <t>Pakistan</t>
  </si>
  <si>
    <t>Poland</t>
  </si>
  <si>
    <t>Portugal</t>
  </si>
  <si>
    <t>Romania</t>
  </si>
  <si>
    <t>RU/RDIG</t>
  </si>
  <si>
    <t>SP/ATLAS</t>
  </si>
  <si>
    <t>SP/CMS</t>
  </si>
  <si>
    <t>SP/LHCb</t>
  </si>
  <si>
    <t>CH/CSCS</t>
  </si>
  <si>
    <t>Taipei</t>
  </si>
  <si>
    <t>UK</t>
  </si>
  <si>
    <t>Ukraine</t>
  </si>
  <si>
    <t>US/Boston</t>
  </si>
  <si>
    <t>US/Southw</t>
  </si>
  <si>
    <t>US/Midw</t>
  </si>
  <si>
    <t>US/Caltech</t>
  </si>
  <si>
    <t>US/Florida</t>
  </si>
  <si>
    <t>US/MIT</t>
  </si>
  <si>
    <t>US/Nebra</t>
  </si>
  <si>
    <t>US/Purdue</t>
  </si>
  <si>
    <t>US/S Diego</t>
  </si>
  <si>
    <t>US/Wisco</t>
  </si>
  <si>
    <t>Austria</t>
  </si>
  <si>
    <t>Belgium</t>
  </si>
  <si>
    <t>Brazil</t>
  </si>
  <si>
    <t>Can/East</t>
  </si>
  <si>
    <t>Can/West</t>
  </si>
  <si>
    <t>Hungary</t>
  </si>
  <si>
    <t>Israel</t>
  </si>
  <si>
    <t>Slovenia</t>
  </si>
  <si>
    <t>Korea</t>
  </si>
  <si>
    <t>SouthAfrica</t>
  </si>
  <si>
    <t>CERN</t>
  </si>
  <si>
    <t>CPU</t>
  </si>
  <si>
    <t xml:space="preserve"> kSI2k</t>
  </si>
  <si>
    <t>Disk</t>
  </si>
  <si>
    <t>MByte/s</t>
  </si>
  <si>
    <t>Tape1-Disk0</t>
  </si>
  <si>
    <t>Tape1-Disk1</t>
  </si>
  <si>
    <t>Tape0-Disk1</t>
  </si>
  <si>
    <t>Birmingham</t>
  </si>
  <si>
    <t>Athenes</t>
  </si>
  <si>
    <t>Slovakia</t>
  </si>
  <si>
    <t>Spain</t>
  </si>
  <si>
    <t>Wuhan</t>
  </si>
  <si>
    <t>D/Muenster</t>
  </si>
  <si>
    <t>T2=&gt;T1</t>
  </si>
  <si>
    <t>T1=&gt;T2</t>
  </si>
  <si>
    <t>US Tier 2</t>
  </si>
  <si>
    <t>US T1 (LBNL+OSC)</t>
  </si>
  <si>
    <t>Estonia</t>
  </si>
  <si>
    <t>TOTALS</t>
  </si>
  <si>
    <t>SUM</t>
  </si>
  <si>
    <t>TOTALS T2</t>
  </si>
  <si>
    <t>With 70% Disk Efficiency</t>
  </si>
  <si>
    <t>storage TByte</t>
  </si>
  <si>
    <t xml:space="preserve"> TByte</t>
  </si>
  <si>
    <t>T1&lt;=&gt;T1</t>
  </si>
  <si>
    <t>T0=&gt;T1</t>
  </si>
  <si>
    <t>Storage for T2 TByte</t>
  </si>
  <si>
    <t>Storage for T1 TByte</t>
  </si>
  <si>
    <t>Tape and Disk Pledges</t>
  </si>
  <si>
    <t>Balance</t>
  </si>
  <si>
    <t>Total Storage Requirements</t>
  </si>
  <si>
    <t>Totals</t>
  </si>
  <si>
    <t>Tape</t>
  </si>
  <si>
    <t>ALICE TDR</t>
  </si>
  <si>
    <t>ALICE REQ</t>
  </si>
  <si>
    <t>ATLAS REQ</t>
  </si>
  <si>
    <t>ATLAS TDR</t>
  </si>
  <si>
    <t>CMS REQ</t>
  </si>
  <si>
    <t>CMS TDR</t>
  </si>
  <si>
    <t>LHCb REQ</t>
  </si>
  <si>
    <t>LHCb TDR</t>
  </si>
  <si>
    <t>UNAM Mexico</t>
  </si>
  <si>
    <t>Hiroshima</t>
  </si>
  <si>
    <t>ALICE PLE</t>
  </si>
  <si>
    <t>ATLAS PLE</t>
  </si>
  <si>
    <t>CMS PLE</t>
  </si>
  <si>
    <t>LHCb PLE</t>
  </si>
  <si>
    <t>Pledge Bal</t>
  </si>
  <si>
    <t>Ext Tier-1s</t>
  </si>
  <si>
    <t>2008 Pledges +  ALICE TDR</t>
  </si>
  <si>
    <t>TDR Bal</t>
  </si>
  <si>
    <t>Comparison of Tier-1 Requirements with Available Resources</t>
  </si>
  <si>
    <t>REQ = sum of requirements in this workbook</t>
  </si>
  <si>
    <t>PLE = sum of Tier-1 pledges received by the experiment</t>
  </si>
  <si>
    <t>TDR = sum of Tier-1 requirements in the experiment's TDR</t>
  </si>
  <si>
    <t>2008 Pledges +  ALICE Scaled</t>
  </si>
  <si>
    <t>2009 Pledges +  ALICE Scaled</t>
  </si>
  <si>
    <t>Tier-2 candidates presented to C-RRB</t>
  </si>
  <si>
    <t>Tier-2 resources presently outside WLCG</t>
  </si>
  <si>
    <t>Tier-2s listed in the WLCG MoU</t>
  </si>
  <si>
    <t xml:space="preserve">This workbook contains 13 sheets labelled with a Tier-1 name. This covers the 11 external Tier-1s </t>
  </si>
  <si>
    <t xml:space="preserve">in the WLCG MoU, a proposed Tier-1 in the US for ALICE and the CERN CAF. </t>
  </si>
  <si>
    <t xml:space="preserve">Each Tier-1 sheet lists all known Tier-2s grouped into three groups labelled with their status: in the </t>
  </si>
  <si>
    <t>MoU, announced to C-RRB, outside WLCG. For each Tier-2 and each experiment served by this</t>
  </si>
  <si>
    <t>Tier-2 the current pledge values of CPU and Disk capacity for the reference year 2008 are given.</t>
  </si>
  <si>
    <t xml:space="preserve">The next two columns list for the chosen Tier-1 the inbound and outbound network bandwidth </t>
  </si>
  <si>
    <t>required for each Tier-2 exchanging data with this Tier-1.</t>
  </si>
  <si>
    <t xml:space="preserve">The final three columns give the storage space required by the connected Tier-2s at this Tier-1. </t>
  </si>
  <si>
    <t>This storage is split into the three agreed WLCG storage categories. Data can be stored on tape,</t>
  </si>
  <si>
    <t>disk and tape or disk only.</t>
  </si>
  <si>
    <t>The TOTALS sub-table at the bottom of the sheet sums for each experiment the 5 Tier-2 resource</t>
  </si>
  <si>
    <t>columns for this Tier-1. It gives also for each experiment the required bandwidth between this Tier-1</t>
  </si>
  <si>
    <t xml:space="preserve"> and the Tier-0 and the inter-Tier-1 bandwidth required at this Tier-1.</t>
  </si>
  <si>
    <t>Finally, the storage requirement for each experiment at this Tier-1 for purposes other than Tier-2</t>
  </si>
  <si>
    <t>support are listed, again in the three WLCG storage classes.</t>
  </si>
  <si>
    <t>All columns of the TOTALS table are then summed over the experiments. The resulting disk</t>
  </si>
  <si>
    <t>requirements are scaled with the efficiency factor agreed in the TDRs and then total tape and disk</t>
  </si>
  <si>
    <t xml:space="preserve">requirements are compared with the pledges for these resources at this Tier-1 in the reference year.  </t>
  </si>
  <si>
    <t>The last sheet, labelled T2 Network, shows the horizontal sum of all bandwidth requirements of a</t>
  </si>
  <si>
    <t>given Tier-2/Experiment combination over all Tier-1s, allowing a check of the bandwidth requirement</t>
  </si>
  <si>
    <t>at the Tier-2 ends.</t>
  </si>
  <si>
    <t>The first sheet, labelled BALANCE, lists disk and tape total requirements for each experiment for</t>
  </si>
  <si>
    <t>all external Tier-1s and the CERN CAF, comparing these requests with the current pledge levels for</t>
  </si>
  <si>
    <t>the reference year and listing the TDR values for 2008 for reference.</t>
  </si>
  <si>
    <t>Two alternative summaries are added. The first one has the ALICE requests scaled down to their</t>
  </si>
  <si>
    <t>pledge levels. The second one compares the requirements of the latter with the pledges of 2009.</t>
  </si>
  <si>
    <t>Further information on how to interpret the Balance tables are contained in the report given to the</t>
  </si>
  <si>
    <t>OB by the Tier-2/Tier-1 team.</t>
  </si>
  <si>
    <t>All values in Tbytes</t>
  </si>
</sst>
</file>

<file path=xl/styles.xml><?xml version="1.0" encoding="utf-8"?>
<styleSheet xmlns="http://schemas.openxmlformats.org/spreadsheetml/2006/main">
  <numFmts count="3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90" fontId="0" fillId="0" borderId="3" xfId="0" applyNumberFormat="1" applyBorder="1" applyAlignment="1">
      <alignment/>
    </xf>
    <xf numFmtId="190" fontId="0" fillId="0" borderId="1" xfId="0" applyNumberFormat="1" applyBorder="1" applyAlignment="1">
      <alignment/>
    </xf>
    <xf numFmtId="190" fontId="0" fillId="0" borderId="4" xfId="0" applyNumberFormat="1" applyBorder="1" applyAlignment="1">
      <alignment/>
    </xf>
    <xf numFmtId="190" fontId="0" fillId="0" borderId="0" xfId="0" applyNumberFormat="1" applyAlignment="1">
      <alignment/>
    </xf>
    <xf numFmtId="0" fontId="0" fillId="0" borderId="1" xfId="0" applyFont="1" applyBorder="1" applyAlignment="1">
      <alignment horizontal="left" indent="1"/>
    </xf>
    <xf numFmtId="190" fontId="0" fillId="0" borderId="5" xfId="0" applyNumberFormat="1" applyBorder="1" applyAlignment="1">
      <alignment/>
    </xf>
    <xf numFmtId="190" fontId="0" fillId="0" borderId="2" xfId="0" applyNumberFormat="1" applyBorder="1" applyAlignment="1">
      <alignment/>
    </xf>
    <xf numFmtId="190" fontId="0" fillId="0" borderId="6" xfId="0" applyNumberFormat="1" applyBorder="1" applyAlignment="1">
      <alignment/>
    </xf>
    <xf numFmtId="190" fontId="0" fillId="0" borderId="7" xfId="0" applyNumberFormat="1" applyBorder="1" applyAlignment="1">
      <alignment/>
    </xf>
    <xf numFmtId="190" fontId="0" fillId="0" borderId="8" xfId="0" applyNumberFormat="1" applyBorder="1" applyAlignment="1">
      <alignment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11" xfId="0" applyNumberFormat="1" applyBorder="1" applyAlignment="1">
      <alignment/>
    </xf>
    <xf numFmtId="190" fontId="2" fillId="0" borderId="12" xfId="0" applyNumberFormat="1" applyFont="1" applyBorder="1" applyAlignment="1">
      <alignment/>
    </xf>
    <xf numFmtId="190" fontId="2" fillId="0" borderId="13" xfId="0" applyNumberFormat="1" applyFont="1" applyBorder="1" applyAlignment="1">
      <alignment/>
    </xf>
    <xf numFmtId="190" fontId="0" fillId="0" borderId="14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2" fillId="0" borderId="16" xfId="0" applyNumberFormat="1" applyFont="1" applyBorder="1" applyAlignment="1">
      <alignment/>
    </xf>
    <xf numFmtId="190" fontId="0" fillId="0" borderId="17" xfId="0" applyNumberFormat="1" applyBorder="1" applyAlignment="1">
      <alignment/>
    </xf>
    <xf numFmtId="190" fontId="2" fillId="0" borderId="18" xfId="0" applyNumberFormat="1" applyFont="1" applyBorder="1" applyAlignment="1">
      <alignment/>
    </xf>
    <xf numFmtId="190" fontId="0" fillId="0" borderId="19" xfId="0" applyNumberFormat="1" applyBorder="1" applyAlignment="1">
      <alignment/>
    </xf>
    <xf numFmtId="190" fontId="2" fillId="0" borderId="20" xfId="0" applyNumberFormat="1" applyFont="1" applyBorder="1" applyAlignment="1">
      <alignment/>
    </xf>
    <xf numFmtId="190" fontId="0" fillId="0" borderId="18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0" fillId="0" borderId="13" xfId="0" applyNumberForma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190" fontId="0" fillId="0" borderId="25" xfId="0" applyNumberFormat="1" applyBorder="1" applyAlignment="1">
      <alignment/>
    </xf>
    <xf numFmtId="190" fontId="0" fillId="0" borderId="26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indent="1"/>
    </xf>
    <xf numFmtId="1" fontId="0" fillId="0" borderId="2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90" fontId="0" fillId="0" borderId="0" xfId="0" applyNumberFormat="1" applyBorder="1" applyAlignment="1">
      <alignment/>
    </xf>
    <xf numFmtId="190" fontId="0" fillId="0" borderId="27" xfId="0" applyNumberForma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right"/>
    </xf>
    <xf numFmtId="190" fontId="2" fillId="0" borderId="28" xfId="0" applyNumberFormat="1" applyFont="1" applyBorder="1" applyAlignment="1">
      <alignment/>
    </xf>
    <xf numFmtId="190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0" fontId="0" fillId="0" borderId="31" xfId="0" applyBorder="1" applyAlignment="1">
      <alignment horizontal="left" indent="1"/>
    </xf>
    <xf numFmtId="0" fontId="0" fillId="0" borderId="31" xfId="0" applyBorder="1" applyAlignment="1">
      <alignment horizontal="right"/>
    </xf>
    <xf numFmtId="190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 indent="1"/>
    </xf>
    <xf numFmtId="0" fontId="0" fillId="0" borderId="27" xfId="0" applyBorder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90" fontId="0" fillId="0" borderId="37" xfId="0" applyNumberFormat="1" applyBorder="1" applyAlignment="1">
      <alignment/>
    </xf>
    <xf numFmtId="190" fontId="0" fillId="0" borderId="38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90" fontId="2" fillId="0" borderId="18" xfId="0" applyNumberFormat="1" applyFont="1" applyBorder="1" applyAlignment="1">
      <alignment/>
    </xf>
    <xf numFmtId="190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right"/>
    </xf>
    <xf numFmtId="0" fontId="0" fillId="0" borderId="18" xfId="0" applyBorder="1" applyAlignment="1">
      <alignment horizontal="left" indent="1"/>
    </xf>
    <xf numFmtId="0" fontId="0" fillId="0" borderId="13" xfId="0" applyBorder="1" applyAlignment="1">
      <alignment horizontal="right"/>
    </xf>
    <xf numFmtId="190" fontId="0" fillId="0" borderId="3" xfId="0" applyNumberFormat="1" applyFont="1" applyBorder="1" applyAlignment="1">
      <alignment/>
    </xf>
    <xf numFmtId="190" fontId="0" fillId="0" borderId="1" xfId="0" applyNumberFormat="1" applyFont="1" applyBorder="1" applyAlignment="1">
      <alignment/>
    </xf>
    <xf numFmtId="190" fontId="0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90" fontId="2" fillId="0" borderId="39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/>
    </xf>
    <xf numFmtId="190" fontId="0" fillId="0" borderId="3" xfId="0" applyNumberFormat="1" applyBorder="1" applyAlignment="1">
      <alignment horizontal="right"/>
    </xf>
    <xf numFmtId="190" fontId="0" fillId="0" borderId="1" xfId="0" applyNumberFormat="1" applyBorder="1" applyAlignment="1">
      <alignment horizontal="right"/>
    </xf>
    <xf numFmtId="190" fontId="0" fillId="0" borderId="4" xfId="0" applyNumberForma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4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1" fontId="0" fillId="0" borderId="34" xfId="0" applyNumberFormat="1" applyBorder="1" applyAlignment="1">
      <alignment horizontal="right"/>
    </xf>
    <xf numFmtId="190" fontId="0" fillId="0" borderId="40" xfId="0" applyNumberFormat="1" applyBorder="1" applyAlignment="1">
      <alignment/>
    </xf>
    <xf numFmtId="190" fontId="0" fillId="0" borderId="34" xfId="0" applyNumberFormat="1" applyBorder="1" applyAlignment="1">
      <alignment/>
    </xf>
    <xf numFmtId="190" fontId="0" fillId="0" borderId="41" xfId="0" applyNumberFormat="1" applyBorder="1" applyAlignment="1">
      <alignment/>
    </xf>
    <xf numFmtId="0" fontId="0" fillId="0" borderId="42" xfId="0" applyBorder="1" applyAlignment="1">
      <alignment horizontal="left" indent="1"/>
    </xf>
    <xf numFmtId="0" fontId="0" fillId="0" borderId="42" xfId="0" applyBorder="1" applyAlignment="1">
      <alignment horizontal="right"/>
    </xf>
    <xf numFmtId="190" fontId="0" fillId="0" borderId="43" xfId="0" applyNumberFormat="1" applyBorder="1" applyAlignment="1">
      <alignment/>
    </xf>
    <xf numFmtId="190" fontId="0" fillId="0" borderId="42" xfId="0" applyNumberFormat="1" applyBorder="1" applyAlignment="1">
      <alignment/>
    </xf>
    <xf numFmtId="190" fontId="0" fillId="0" borderId="44" xfId="0" applyNumberFormat="1" applyBorder="1" applyAlignment="1">
      <alignment/>
    </xf>
    <xf numFmtId="0" fontId="2" fillId="0" borderId="37" xfId="0" applyFont="1" applyBorder="1" applyAlignment="1">
      <alignment horizontal="left" indent="1"/>
    </xf>
    <xf numFmtId="0" fontId="0" fillId="0" borderId="34" xfId="0" applyBorder="1" applyAlignment="1">
      <alignment horizontal="right"/>
    </xf>
    <xf numFmtId="0" fontId="0" fillId="0" borderId="41" xfId="0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jacobs\Local%20Settings\Temporary%20Internet%20Files\OLK47E\Atla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1XOld Model"/>
      <sheetName val="ATLAS Sum"/>
      <sheetName val="FullTable"/>
      <sheetName val="ASGC"/>
      <sheetName val="BNL"/>
      <sheetName val="CERN"/>
      <sheetName val="CNAF"/>
      <sheetName val="FNAL"/>
      <sheetName val="FZK"/>
      <sheetName val="IN2P3"/>
      <sheetName val="NDGF"/>
      <sheetName val="NIKHEF"/>
      <sheetName val="PIC"/>
      <sheetName val="RAL"/>
      <sheetName val="TRIUMF"/>
      <sheetName val="ALICE UST1"/>
      <sheetName val="T2 Net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39"/>
  <sheetViews>
    <sheetView workbookViewId="0" topLeftCell="A1">
      <selection activeCell="E43" sqref="E43"/>
    </sheetView>
  </sheetViews>
  <sheetFormatPr defaultColWidth="9.140625" defaultRowHeight="12.75"/>
  <sheetData>
    <row r="3" ht="12.75">
      <c r="A3" t="s">
        <v>127</v>
      </c>
    </row>
    <row r="4" ht="12.75">
      <c r="A4" t="s">
        <v>128</v>
      </c>
    </row>
    <row r="6" ht="12.75">
      <c r="A6" t="s">
        <v>129</v>
      </c>
    </row>
    <row r="7" ht="12.75">
      <c r="A7" t="s">
        <v>130</v>
      </c>
    </row>
    <row r="8" ht="12.75">
      <c r="A8" t="s">
        <v>131</v>
      </c>
    </row>
    <row r="10" ht="12.75">
      <c r="A10" t="s">
        <v>132</v>
      </c>
    </row>
    <row r="11" ht="12.75">
      <c r="A11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1" ht="12.75">
      <c r="A21" t="s">
        <v>140</v>
      </c>
    </row>
    <row r="22" ht="12.75">
      <c r="A22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3" ht="12.75">
      <c r="A33" t="s">
        <v>148</v>
      </c>
    </row>
    <row r="34" ht="12.75">
      <c r="A34" t="s">
        <v>149</v>
      </c>
    </row>
    <row r="35" ht="12.75">
      <c r="A35" t="s">
        <v>150</v>
      </c>
    </row>
    <row r="36" ht="12.75">
      <c r="A36" t="s">
        <v>151</v>
      </c>
    </row>
    <row r="37" ht="12.75">
      <c r="A37" t="s">
        <v>152</v>
      </c>
    </row>
    <row r="38" ht="12.75">
      <c r="A38" t="s">
        <v>153</v>
      </c>
    </row>
    <row r="39" ht="12.75">
      <c r="A39" t="s">
        <v>154</v>
      </c>
    </row>
  </sheetData>
  <printOptions/>
  <pageMargins left="0.51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2">
      <selection activeCell="P80" sqref="P80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11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/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/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/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/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28">
        <v>21.2</v>
      </c>
      <c r="D96" s="21">
        <v>1.44</v>
      </c>
      <c r="E96" s="25">
        <f>E9+E12+E15+E19+E22+E25+E27+E29+E35+E41+E43+E55+E59+E79+E84+E85+E86+E87+E88+E89+E90+E91+E92</f>
        <v>0</v>
      </c>
      <c r="F96" s="21">
        <f>F9+F12+F15+F19+F22+F25+F27+F29+F35+F41+F43+F55+F59+F79+F84+F85+F86+F87+F88+F89+F90+F91+F92</f>
        <v>0</v>
      </c>
      <c r="G96" s="21">
        <f>G9+G12+G15+G19+G22+G25+G27+G29+G35+G41+G43+G55+G59+G79+G84+G85+G86+G87+G88+G89+G90+G91+G92</f>
        <v>0</v>
      </c>
      <c r="H96" s="21">
        <f>H9+H12+H15+H19+H22+H25+H27+H29+H35+H41+H43+H55+H59+H79+H84+H85+H86+H87+H88+H89+H90+H91+H92</f>
        <v>0</v>
      </c>
      <c r="I96" s="30">
        <f>I9+I12+I15+I19+I22+I25+I27+I29+I35+I41+I43+I55+I59+I79+I84+I85+I86+I87+I88+I89+I90+I91+I92</f>
        <v>0</v>
      </c>
      <c r="J96" s="21">
        <f>45.3+253</f>
        <v>298.3</v>
      </c>
      <c r="K96" s="21">
        <f>45.3+32.8</f>
        <v>78.1</v>
      </c>
      <c r="L96" s="22">
        <f>38.7+248</f>
        <v>286.7</v>
      </c>
    </row>
    <row r="97" spans="2:12" ht="12.75">
      <c r="B97" s="36" t="s">
        <v>4</v>
      </c>
      <c r="C97" s="8">
        <v>20.574</v>
      </c>
      <c r="D97" s="9">
        <v>60.95826857363316</v>
      </c>
      <c r="E97" s="26">
        <f>E4+E5+E8+E11+E14+E18+E21+E24+E28+E31+E34+E37+E40+E42+E45+E48+E51+E54+E59+E60+E61+E70+E72+E75+E76+E79+E80</f>
        <v>0</v>
      </c>
      <c r="F97" s="9">
        <f>F4+F5+F8+F11+F14+F18+F21+F24+F28+F31+F34+F37+F40+F42+F45+F48+F51+F54+F59+F60+F61+F70+F72+F75+F76+F79+F80</f>
        <v>0</v>
      </c>
      <c r="G97" s="9">
        <f>G4+G5+G8+G11+G14+G18+G21+G24+G28+G31+G34+G37+G40+G42+G45+G48+G51+G54+G59+G60+G61+G70+G72+G75+G76+G79+G80</f>
        <v>0</v>
      </c>
      <c r="H97" s="9">
        <f>H4+H5+H8+H11+H14+H18+H21+H24+H28+H31+H34+H37+H40+H42+H45+H48+H51+H54+H59+H60+H61+H70+H72+H75+H76+H79+H80</f>
        <v>0</v>
      </c>
      <c r="I97" s="14">
        <f>I4+I5+I8+I11+I14+I18+I21+I24+I28+I31+I34+I37+I40+I42+I45+I48+I51+I54+I59+I60+I61+I70+I72+I75+I76+I79+I80</f>
        <v>0</v>
      </c>
      <c r="J97" s="9">
        <v>105.66900000000003</v>
      </c>
      <c r="K97" s="9">
        <v>90.14100000000002</v>
      </c>
      <c r="L97" s="10">
        <v>116.23080000000002</v>
      </c>
    </row>
    <row r="98" spans="2:12" ht="12.75">
      <c r="B98" s="36" t="s">
        <v>17</v>
      </c>
      <c r="C98" s="46"/>
      <c r="D98" s="47"/>
      <c r="E98" s="26">
        <f>E6+E9+E12+E15+E22+E26+E29+E32+E35++E38+E43+E46+E49+E52+E55+E58+E62+E63+E64+E65+E66+E67+E68+E71+E73+E78+E91</f>
        <v>0</v>
      </c>
      <c r="F98" s="9">
        <f>F6+F9+F12+F15+F22+F26+F29+F32+F35++F38+F43+F46+F49+F52+F55+F58+F62+F63+F64+F65+F66+F67+F68+F71+F73+F78+F91</f>
        <v>0</v>
      </c>
      <c r="G98" s="9">
        <f>G6+G9+G12+G15+G22+G26+G29+G32+G35++G38+G43+G46+G49+G52+G55+G58+G62+G63+G64+G65+G66+G67+G68+G71+G73+G78+G91</f>
        <v>0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0</v>
      </c>
      <c r="J98" s="47"/>
      <c r="K98" s="47"/>
      <c r="L98" s="48"/>
    </row>
    <row r="99" spans="2:12" ht="12.75">
      <c r="B99" s="36" t="s">
        <v>23</v>
      </c>
      <c r="C99" s="46"/>
      <c r="D99" s="47"/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0</v>
      </c>
      <c r="I99" s="14">
        <f>I16+I19+I30+I36+I44+I47+I50+I56+I74</f>
        <v>0</v>
      </c>
      <c r="J99" s="47"/>
      <c r="K99" s="47"/>
      <c r="L99" s="48"/>
    </row>
    <row r="100" spans="2:12" ht="13.5" thickBot="1">
      <c r="B100" s="37" t="s">
        <v>86</v>
      </c>
      <c r="C100" s="29">
        <f aca="true" t="shared" si="0" ref="C100:L100">SUM(C96:C99)</f>
        <v>41.774</v>
      </c>
      <c r="D100" s="23">
        <f t="shared" si="0"/>
        <v>62.39826857363316</v>
      </c>
      <c r="E100" s="23">
        <f t="shared" si="0"/>
        <v>0</v>
      </c>
      <c r="F100" s="23">
        <f t="shared" si="0"/>
        <v>0</v>
      </c>
      <c r="G100" s="23">
        <f t="shared" si="0"/>
        <v>0</v>
      </c>
      <c r="H100" s="23">
        <f t="shared" si="0"/>
        <v>0</v>
      </c>
      <c r="I100" s="31">
        <f t="shared" si="0"/>
        <v>0</v>
      </c>
      <c r="J100" s="23">
        <f t="shared" si="0"/>
        <v>403.96900000000005</v>
      </c>
      <c r="K100" s="23">
        <f t="shared" si="0"/>
        <v>168.241</v>
      </c>
      <c r="L100" s="24">
        <f t="shared" si="0"/>
        <v>402.9308</v>
      </c>
    </row>
    <row r="101" spans="2:12" ht="13.5" thickBot="1">
      <c r="B101" s="142" t="s">
        <v>88</v>
      </c>
      <c r="C101" s="143"/>
      <c r="D101" s="144"/>
      <c r="H101" s="63">
        <f>H100/0.7</f>
        <v>0</v>
      </c>
      <c r="I101" s="64">
        <f>I100/0.7</f>
        <v>0</v>
      </c>
      <c r="K101" s="63">
        <f>K100/0.7</f>
        <v>240.34428571428575</v>
      </c>
      <c r="L101" s="64">
        <f>L100/0.7</f>
        <v>575.6154285714285</v>
      </c>
    </row>
    <row r="102" spans="2:12" ht="13.5" thickBot="1">
      <c r="B102" s="142" t="s">
        <v>97</v>
      </c>
      <c r="C102" s="143"/>
      <c r="D102" s="144"/>
      <c r="G102" s="65">
        <f>G100+H100</f>
        <v>0</v>
      </c>
      <c r="H102" s="88"/>
      <c r="I102" s="65">
        <f>H101+I101</f>
        <v>0</v>
      </c>
      <c r="J102" s="65">
        <f>J100+K100</f>
        <v>572.21</v>
      </c>
      <c r="K102" s="88"/>
      <c r="L102" s="65">
        <f>K101+L101</f>
        <v>815.9597142857143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872</v>
      </c>
      <c r="K103" s="88"/>
      <c r="L103" s="79">
        <v>888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299.78999999999996</v>
      </c>
      <c r="K104" s="88"/>
      <c r="L104" s="65">
        <f>L103-I102-L102</f>
        <v>72.04028571428569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2">
      <selection activeCell="O81" sqref="O81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12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>
        <v>5.394508030710745</v>
      </c>
      <c r="F42" s="9">
        <v>34.05677301347216</v>
      </c>
      <c r="G42" s="9">
        <v>24.65610391972707</v>
      </c>
      <c r="H42" s="9">
        <v>14.628723421363002</v>
      </c>
      <c r="I42" s="10">
        <v>17.189110549695936</v>
      </c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>
        <v>23.086898660389544</v>
      </c>
      <c r="F54" s="9"/>
      <c r="G54" s="9">
        <v>105.52083142969643</v>
      </c>
      <c r="H54" s="9">
        <v>62.60660902480431</v>
      </c>
      <c r="I54" s="10">
        <v>73.56430856416341</v>
      </c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/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/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/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/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28">
        <v>13.8</v>
      </c>
      <c r="D96" s="21">
        <v>0.397</v>
      </c>
      <c r="E96" s="25">
        <f>E9+E12+E15+E19+E22+E25+E27+E29+E35+E41+E43+E55+E59+E79+E84+E85+E86+E87+E88+E89+E90+E91+E92</f>
        <v>0</v>
      </c>
      <c r="F96" s="21">
        <f>F9+F12+F15+F19+F22+F25+F27+F29+F35+F41+F43+F55+F59+F79+F84+F85+F86+F87+F88+F89+F90+F91+F92</f>
        <v>0</v>
      </c>
      <c r="G96" s="21">
        <f>G9+G12+G15+G19+G22+G25+G27+G29+G35+G41+G43+G55+G59+G79+G84+G85+G86+G87+G88+G89+G90+G91+G92</f>
        <v>0</v>
      </c>
      <c r="H96" s="21">
        <f>H9+H12+H15+H19+H22+H25+H27+H29+H35+H41+H43+H55+H59+H79+H84+H85+H86+H87+H88+H89+H90+H91+H92</f>
        <v>0</v>
      </c>
      <c r="I96" s="30">
        <f>I9+I12+I15+I19+I22+I25+I27+I29+I35+I41+I43+I55+I59+I79+I84+I85+I86+I87+I88+I89+I90+I91+I92</f>
        <v>0</v>
      </c>
      <c r="J96" s="21">
        <f>12.5+114</f>
        <v>126.5</v>
      </c>
      <c r="K96" s="21">
        <f>12.5+14.7</f>
        <v>27.2</v>
      </c>
      <c r="L96" s="22">
        <f>17.2+248</f>
        <v>265.2</v>
      </c>
    </row>
    <row r="97" spans="2:12" ht="12.75">
      <c r="B97" s="36" t="s">
        <v>4</v>
      </c>
      <c r="C97" s="8">
        <v>72.009</v>
      </c>
      <c r="D97" s="9">
        <v>204.19543788580248</v>
      </c>
      <c r="E97" s="26">
        <f>E4+E5+E8+E11+E14+E18+E21+E24+E28+E31+E34+E37+E40+E42+E45+E48+E51+E54+E59+E60+E61+E70+E72+E75+E76+E79+E80</f>
        <v>28.48140669110029</v>
      </c>
      <c r="F97" s="9">
        <f>F4+F5+F8+F11+F14+F18+F21+F24+F28+F31+F34+F37+F40+F42+F45+F48+F51+F54+F59+F60+F61+F70+F72+F75+F76+F79+F80</f>
        <v>34.05677301347216</v>
      </c>
      <c r="G97" s="9">
        <f>G4+G5+G8+G11+G14+G18+G21+G24+G28+G31+G34+G37+G40+G42+G45+G48+G51+G54+G59+G60+G61+G70+G72+G75+G76+G79+G80</f>
        <v>130.1769353494235</v>
      </c>
      <c r="H97" s="9">
        <f>H4+H5+H8+H11+H14+H18+H21+H24+H28+H31+H34+H37+H40+H42+H45+H48+H51+H54+H59+H60+H61+H70+H72+H75+H76+H79+H80</f>
        <v>77.2353324461673</v>
      </c>
      <c r="I97" s="14">
        <f>I4+I5+I8+I11+I14+I18+I21+I24+I28+I31+I34+I37+I40+I42+I45+I48+I51+I54+I59+I60+I61+I70+I72+I75+I76+I79+I80</f>
        <v>90.75341911385935</v>
      </c>
      <c r="J97" s="9">
        <v>369.84150000000005</v>
      </c>
      <c r="K97" s="9">
        <v>315.49350000000004</v>
      </c>
      <c r="L97" s="10">
        <v>406.8078</v>
      </c>
    </row>
    <row r="98" spans="2:12" ht="12.75">
      <c r="B98" s="36" t="s">
        <v>17</v>
      </c>
      <c r="C98" s="46"/>
      <c r="D98" s="47"/>
      <c r="E98" s="26">
        <f>E6+E9+E12+E15+E22+E26+E29+E32+E35++E38+E43+E46+E49+E52+E55+E58+E62+E63+E64+E65+E66+E67+E68+E71+E73+E78+E91</f>
        <v>0</v>
      </c>
      <c r="F98" s="9">
        <f>F6+F9+F12+F15+F22+F26+F29+F32+F35++F38+F43+F46+F49+F52+F55+F58+F62+F63+F64+F65+F66+F67+F68+F71+F73+F78+F91</f>
        <v>0</v>
      </c>
      <c r="G98" s="9">
        <f>G6+G9+G12+G15+G22+G26+G29+G32+G35++G38+G43+G46+G49+G52+G55+G58+G62+G63+G64+G65+G66+G67+G68+G71+G73+G78+G91</f>
        <v>0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0</v>
      </c>
      <c r="J98" s="47"/>
      <c r="K98" s="47"/>
      <c r="L98" s="48"/>
    </row>
    <row r="99" spans="2:12" ht="12.75">
      <c r="B99" s="36" t="s">
        <v>23</v>
      </c>
      <c r="C99" s="46">
        <v>21.2</v>
      </c>
      <c r="D99" s="47">
        <v>105.8</v>
      </c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0</v>
      </c>
      <c r="I99" s="14">
        <f>I16+I19+I30+I36+I44+I47+I50+I56+I74</f>
        <v>0</v>
      </c>
      <c r="J99" s="47">
        <v>399</v>
      </c>
      <c r="K99" s="47">
        <v>42</v>
      </c>
      <c r="L99" s="48">
        <v>216</v>
      </c>
    </row>
    <row r="100" spans="2:12" ht="13.5" thickBot="1">
      <c r="B100" s="37" t="s">
        <v>86</v>
      </c>
      <c r="C100" s="27">
        <f aca="true" t="shared" si="0" ref="C100:L100">SUM(C96:C99)</f>
        <v>107.009</v>
      </c>
      <c r="D100" s="27">
        <f t="shared" si="0"/>
        <v>310.39243788580245</v>
      </c>
      <c r="E100" s="27">
        <f t="shared" si="0"/>
        <v>28.48140669110029</v>
      </c>
      <c r="F100" s="23">
        <f t="shared" si="0"/>
        <v>34.05677301347216</v>
      </c>
      <c r="G100" s="23">
        <f t="shared" si="0"/>
        <v>130.1769353494235</v>
      </c>
      <c r="H100" s="23">
        <f t="shared" si="0"/>
        <v>77.2353324461673</v>
      </c>
      <c r="I100" s="31">
        <f t="shared" si="0"/>
        <v>90.75341911385935</v>
      </c>
      <c r="J100" s="23">
        <f t="shared" si="0"/>
        <v>895.3415</v>
      </c>
      <c r="K100" s="23">
        <f t="shared" si="0"/>
        <v>384.69350000000003</v>
      </c>
      <c r="L100" s="24">
        <f t="shared" si="0"/>
        <v>888.0078</v>
      </c>
    </row>
    <row r="101" spans="2:12" ht="13.5" thickBot="1">
      <c r="B101" s="142" t="s">
        <v>88</v>
      </c>
      <c r="C101" s="143"/>
      <c r="D101" s="144"/>
      <c r="H101" s="63">
        <f>H100/0.7</f>
        <v>110.33618920881044</v>
      </c>
      <c r="I101" s="64">
        <f>I100/0.7</f>
        <v>129.64774159122766</v>
      </c>
      <c r="K101" s="63">
        <f>K100/0.7</f>
        <v>549.5621428571429</v>
      </c>
      <c r="L101" s="64">
        <f>L100/0.7</f>
        <v>1268.5825714285716</v>
      </c>
    </row>
    <row r="102" spans="2:12" ht="13.5" thickBot="1">
      <c r="B102" s="142" t="s">
        <v>97</v>
      </c>
      <c r="C102" s="143"/>
      <c r="D102" s="144"/>
      <c r="G102" s="65">
        <f>G100+H100</f>
        <v>207.41226779559082</v>
      </c>
      <c r="H102" s="88"/>
      <c r="I102" s="65">
        <f>H101+I101</f>
        <v>239.98393080003808</v>
      </c>
      <c r="J102" s="65">
        <f>J100+K100</f>
        <v>1280.035</v>
      </c>
      <c r="K102" s="88"/>
      <c r="L102" s="65">
        <f>K101+L101</f>
        <v>1818.1447142857146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1813</v>
      </c>
      <c r="K103" s="88"/>
      <c r="L103" s="79">
        <v>2510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325.55273220440904</v>
      </c>
      <c r="K104" s="88"/>
      <c r="L104" s="65">
        <f>L103-I102-L102</f>
        <v>451.87135491424715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2">
      <selection activeCell="Q101" sqref="Q101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13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>
        <v>7</v>
      </c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>
        <v>8</v>
      </c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>
        <v>2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>
        <v>1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>
        <v>2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>
        <v>2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>
        <v>4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>
        <v>2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>
        <v>1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>
        <v>14.847912583566409</v>
      </c>
      <c r="F37" s="9">
        <v>5.554891132294488</v>
      </c>
      <c r="G37" s="9">
        <v>67.86377433628599</v>
      </c>
      <c r="H37" s="9">
        <v>40.26428458962748</v>
      </c>
      <c r="I37" s="10">
        <v>47.31152671905799</v>
      </c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>
        <v>2</v>
      </c>
      <c r="F38" s="9">
        <v>7</v>
      </c>
      <c r="G38" s="9">
        <v>68</v>
      </c>
      <c r="H38" s="9"/>
      <c r="I38" s="10">
        <v>9</v>
      </c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>
        <v>0.99</v>
      </c>
      <c r="F43" s="9">
        <v>18</v>
      </c>
      <c r="G43" s="9">
        <v>38</v>
      </c>
      <c r="H43" s="9"/>
      <c r="I43" s="10">
        <v>5</v>
      </c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>
        <v>7.894231934597209</v>
      </c>
      <c r="F45" s="9">
        <v>20.367934151746457</v>
      </c>
      <c r="G45" s="9">
        <v>36.08132601486037</v>
      </c>
      <c r="H45" s="9">
        <v>21.407426764011827</v>
      </c>
      <c r="I45" s="10">
        <v>25.154254040632715</v>
      </c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>
        <v>6</v>
      </c>
      <c r="F46" s="9">
        <v>43</v>
      </c>
      <c r="G46" s="9">
        <v>239</v>
      </c>
      <c r="H46" s="9"/>
      <c r="I46" s="10">
        <v>29</v>
      </c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>
        <v>0</v>
      </c>
      <c r="F47" s="9"/>
      <c r="G47" s="9"/>
      <c r="H47" s="9">
        <v>6.4</v>
      </c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>
        <v>3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>
        <v>1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>
        <v>2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>
        <v>2.38</v>
      </c>
      <c r="F58" s="9">
        <v>2</v>
      </c>
      <c r="G58" s="9">
        <v>71.3</v>
      </c>
      <c r="H58" s="9"/>
      <c r="I58" s="10">
        <v>7.13</v>
      </c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>
        <v>2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>
        <v>2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>
        <v>2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>
        <v>2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>
        <v>2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>
        <v>2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>
        <v>2</v>
      </c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>
        <v>10</v>
      </c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>
        <v>1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>
        <v>1</v>
      </c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>
        <v>3.76</v>
      </c>
      <c r="F87" s="9">
        <v>7.13</v>
      </c>
      <c r="G87" s="9">
        <v>58.2</v>
      </c>
      <c r="H87" s="9">
        <v>17.8</v>
      </c>
      <c r="I87" s="10">
        <v>101</v>
      </c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>
        <v>3</v>
      </c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80"/>
      <c r="D96" s="81"/>
      <c r="E96" s="25">
        <f>E7+E10+E13+E17+E20+E23+E25+E27+E33+E39+E41+E53+E57+E77+E82+E83+E84+E85+E86+E87+E88+E89+E90</f>
        <v>3.76</v>
      </c>
      <c r="F96" s="21">
        <f>F7+F10+F13+F17+F20+F23+F25+F27+F33+F39+F41+F53+F57+F77+F82+F83+F84+F85+F86+F87+F88+F89+F90</f>
        <v>7.13</v>
      </c>
      <c r="G96" s="21">
        <f>G7+G10+G13+G17+G20+G23+G25+G27+G33+G39+G41+G53+G57+G77+G82+G83+G84+G85+G86+G87+G88+G89+G90</f>
        <v>58.2</v>
      </c>
      <c r="H96" s="21">
        <f>H7+H10+H13+H17+H20+H23+H25+H27+H33+H39+H41+H53+H57+H77+H82+H83+H84+H85+H86+H87+H88+H89+H90</f>
        <v>17.8</v>
      </c>
      <c r="I96" s="30">
        <f>I7+I10+I13+I17+I20+I23+I25+I27+I33+I39+I41+I53+I57+I77+I82+I83+I84+I85+I86+I87+I88+I89+I90</f>
        <v>101</v>
      </c>
      <c r="J96" s="21"/>
      <c r="K96" s="81"/>
      <c r="L96" s="82"/>
    </row>
    <row r="97" spans="2:12" ht="12.75">
      <c r="B97" s="36" t="s">
        <v>4</v>
      </c>
      <c r="C97" s="8">
        <v>20.574</v>
      </c>
      <c r="D97" s="9">
        <v>60.95826857363316</v>
      </c>
      <c r="E97" s="26">
        <f>E4+E5+E8+E11+E14+E18+E21+E24+E28+E31+E34+E37+E40+E42+E45+E48+E51+E54+E59+E60+E61+E70+E72+E75+E76+E79+E80</f>
        <v>22.742144518163617</v>
      </c>
      <c r="F97" s="9">
        <f>F4+F5+F8+F11+F14+F18+F21+F24+F28+F31+F34+F37+F40+F42+F45+F48+F51+F54+F59+F60+F61+F70+F72+F75+F76+F79+F80</f>
        <v>25.922825284040947</v>
      </c>
      <c r="G97" s="9">
        <f>G4+G5+G8+G11+G14+G18+G21+G24+G28+G31+G34+G37+G40+G42+G45+G48+G51+G54+G59+G60+G61+G70+G72+G75+G76+G79+G80</f>
        <v>103.94510035114635</v>
      </c>
      <c r="H97" s="9">
        <f>H4+H5+H8+H11+H14+H18+H21+H24+H28+H31+H34+H37+H40+H42+H45+H48+H51+H54+H59+H60+H61+H70+H72+H75+H76+H79+H80</f>
        <v>61.67171135363931</v>
      </c>
      <c r="I97" s="14">
        <f>I4+I5+I8+I11+I14+I18+I21+I24+I28+I31+I34+I37+I40+I42+I45+I48+I51+I54+I59+I60+I61+I70+I72+I75+I76+I79+I80</f>
        <v>72.4657807596907</v>
      </c>
      <c r="J97" s="9">
        <v>105.66900000000003</v>
      </c>
      <c r="K97" s="9">
        <v>90.14100000000002</v>
      </c>
      <c r="L97" s="10">
        <v>116.23080000000002</v>
      </c>
    </row>
    <row r="98" spans="2:12" ht="12.75">
      <c r="B98" s="36" t="s">
        <v>17</v>
      </c>
      <c r="C98" s="46">
        <v>19</v>
      </c>
      <c r="D98" s="47">
        <v>163</v>
      </c>
      <c r="E98" s="26">
        <f>E6+E9+E12+E15+E22+E26+E29+E32+E35++E38+E43+E46+E49+E52+E55+E58+E62+E63+E64+E65+E66+E67+E68+E71+E73+E78+E91</f>
        <v>11.370000000000001</v>
      </c>
      <c r="F98" s="9">
        <f>F6+F9+F12+F15+F22+F26+F29+F32+F35++F38+F43+F46+F49+F52+F55+F58+F62+F63+F64+F65+F66+F67+F68+F71+F73+F78+F91</f>
        <v>134</v>
      </c>
      <c r="G98" s="9">
        <f>G6+G9+G12+G15+G22+G26+G29+G32+G35++G38+G43+G46+G49+G52+G55+G58+G62+G63+G64+G65+G66+G67+G68+G71+G73+G78+G91</f>
        <v>416.3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50.13</v>
      </c>
      <c r="J98" s="9">
        <v>336</v>
      </c>
      <c r="K98" s="9">
        <v>0</v>
      </c>
      <c r="L98" s="10">
        <v>262</v>
      </c>
    </row>
    <row r="99" spans="2:12" ht="12.75">
      <c r="B99" s="36" t="s">
        <v>23</v>
      </c>
      <c r="C99" s="46">
        <v>15.7</v>
      </c>
      <c r="D99" s="47">
        <v>70.5</v>
      </c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6.4</v>
      </c>
      <c r="I99" s="14">
        <f>I16+I19+I30+I36+I44+I47+I50+I56+I74</f>
        <v>0</v>
      </c>
      <c r="J99" s="47">
        <v>122</v>
      </c>
      <c r="K99" s="47">
        <v>13</v>
      </c>
      <c r="L99" s="48">
        <v>184</v>
      </c>
    </row>
    <row r="100" spans="2:12" ht="13.5" thickBot="1">
      <c r="B100" s="37" t="s">
        <v>86</v>
      </c>
      <c r="C100" s="29">
        <f aca="true" t="shared" si="0" ref="C100:L100">SUM(C96:C99)</f>
        <v>55.274</v>
      </c>
      <c r="D100" s="23">
        <f t="shared" si="0"/>
        <v>294.4582685736332</v>
      </c>
      <c r="E100" s="23">
        <f t="shared" si="0"/>
        <v>37.87214451816362</v>
      </c>
      <c r="F100" s="23">
        <f t="shared" si="0"/>
        <v>167.05282528404095</v>
      </c>
      <c r="G100" s="23">
        <f t="shared" si="0"/>
        <v>578.4451003511464</v>
      </c>
      <c r="H100" s="23">
        <f t="shared" si="0"/>
        <v>85.87171135363931</v>
      </c>
      <c r="I100" s="31">
        <f t="shared" si="0"/>
        <v>223.59578075969068</v>
      </c>
      <c r="J100" s="23">
        <f t="shared" si="0"/>
        <v>563.6690000000001</v>
      </c>
      <c r="K100" s="23">
        <f t="shared" si="0"/>
        <v>103.14100000000002</v>
      </c>
      <c r="L100" s="24">
        <f t="shared" si="0"/>
        <v>562.2308</v>
      </c>
    </row>
    <row r="101" spans="2:12" ht="13.5" thickBot="1">
      <c r="B101" s="142" t="s">
        <v>88</v>
      </c>
      <c r="C101" s="143"/>
      <c r="D101" s="144"/>
      <c r="H101" s="63">
        <f>H100/0.7</f>
        <v>122.67387336234188</v>
      </c>
      <c r="I101" s="64">
        <f>I100/0.7</f>
        <v>319.4225439424153</v>
      </c>
      <c r="K101" s="63">
        <f>K100/0.7</f>
        <v>147.34428571428575</v>
      </c>
      <c r="L101" s="64">
        <f>L100/0.7</f>
        <v>803.1868571428572</v>
      </c>
    </row>
    <row r="102" spans="2:12" ht="13.5" thickBot="1">
      <c r="B102" s="142" t="s">
        <v>97</v>
      </c>
      <c r="C102" s="143"/>
      <c r="D102" s="144"/>
      <c r="G102" s="65">
        <f>G100+H100</f>
        <v>664.3168117047857</v>
      </c>
      <c r="H102" s="88"/>
      <c r="I102" s="65">
        <f>H101+I101</f>
        <v>442.0964173047572</v>
      </c>
      <c r="J102" s="65">
        <f>J100+K100</f>
        <v>666.8100000000002</v>
      </c>
      <c r="K102" s="88"/>
      <c r="L102" s="65">
        <f>K101+L101</f>
        <v>950.531142857143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1422</v>
      </c>
      <c r="K103" s="88"/>
      <c r="L103" s="79">
        <v>1226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90.87318829521416</v>
      </c>
      <c r="K104" s="88"/>
      <c r="L104" s="65">
        <f>L103-I102-L102</f>
        <v>-166.6275601619002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1">
      <selection activeCell="P101" sqref="P101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14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>
        <v>5</v>
      </c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>
        <v>6</v>
      </c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>
        <v>1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>
        <v>1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>
        <v>1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>
        <v>1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>
        <v>2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>
        <v>1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>
        <v>1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>
        <v>1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>
        <v>0.99</v>
      </c>
      <c r="F43" s="9">
        <v>15</v>
      </c>
      <c r="G43" s="9">
        <v>38</v>
      </c>
      <c r="H43" s="9"/>
      <c r="I43" s="10">
        <v>5</v>
      </c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>
        <v>1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>
        <v>3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>
        <v>1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>
        <v>3.86</v>
      </c>
      <c r="F53" s="9">
        <v>7.32</v>
      </c>
      <c r="G53" s="9">
        <v>59.7</v>
      </c>
      <c r="H53" s="9">
        <v>18.3</v>
      </c>
      <c r="I53" s="10">
        <v>101</v>
      </c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>
        <v>69.26069598116862</v>
      </c>
      <c r="F54" s="9">
        <v>24.997010095325194</v>
      </c>
      <c r="G54" s="9">
        <v>316.5624942890893</v>
      </c>
      <c r="H54" s="9">
        <v>187.81982707441293</v>
      </c>
      <c r="I54" s="10">
        <v>220.69292569249023</v>
      </c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>
        <v>4</v>
      </c>
      <c r="F55" s="9">
        <v>15</v>
      </c>
      <c r="G55" s="9">
        <v>150</v>
      </c>
      <c r="H55" s="9"/>
      <c r="I55" s="10">
        <v>18</v>
      </c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>
        <v>0.54</v>
      </c>
      <c r="F56" s="9"/>
      <c r="G56" s="11"/>
      <c r="H56" s="9">
        <v>16.8</v>
      </c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>
        <v>1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>
        <v>1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>
        <v>1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>
        <v>1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>
        <v>1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>
        <v>1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>
        <v>1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>
        <v>1</v>
      </c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9">
        <v>8</v>
      </c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>
        <v>1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9">
        <v>1</v>
      </c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>
        <v>1</v>
      </c>
      <c r="F91" s="16">
        <v>3</v>
      </c>
      <c r="G91" s="16">
        <v>7</v>
      </c>
      <c r="H91" s="16"/>
      <c r="I91" s="17">
        <v>1</v>
      </c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28">
        <v>8.75</v>
      </c>
      <c r="D96" s="21">
        <v>1.89</v>
      </c>
      <c r="E96" s="25">
        <f>E7+E10+E13+E17+E20+E23+E25+E27+E33+E39+E41+E53+E57+E77+E82+E83+E84+E85+E86+E87+E88+E89+E90</f>
        <v>3.86</v>
      </c>
      <c r="F96" s="21">
        <f>F7+F10+F13+F17+F20+F23+F25+F27+F33+F39+F41+F53+F57+F77+F82+F83+F84+F85+F86+F87+F88+F89+F90</f>
        <v>7.32</v>
      </c>
      <c r="G96" s="21">
        <f>G7+G10+G13+G17+G20+G23+G25+G27+G33+G39+G41+G53+G57+G77+G82+G83+G84+G85+G86+G87+G88+G89+G90</f>
        <v>59.7</v>
      </c>
      <c r="H96" s="21">
        <f>H7+H10+H13+H17+H20+H23+H25+H27+H33+H39+H41+H53+H57+H77+H82+H83+H84+H85+H86+H87+H88+H89+H90</f>
        <v>18.3</v>
      </c>
      <c r="I96" s="30">
        <f>I7+I10+I13+I17+I20+I23+I25+I27+I33+I39+I41+I53+I57+I77+I82+I83+I84+I85+I86+I87+I88+I89+I90</f>
        <v>101</v>
      </c>
      <c r="J96" s="21">
        <f>0.000174+17.1</f>
        <v>17.100174000000003</v>
      </c>
      <c r="K96" s="21">
        <v>2.22</v>
      </c>
      <c r="L96" s="22">
        <f>2.67+248</f>
        <v>250.67</v>
      </c>
    </row>
    <row r="97" spans="2:12" ht="12.75">
      <c r="B97" s="36" t="s">
        <v>4</v>
      </c>
      <c r="C97" s="8">
        <v>76.8096</v>
      </c>
      <c r="D97" s="9">
        <v>217.80846707818932</v>
      </c>
      <c r="E97" s="26">
        <f>E4+E5+E8+E11+E14+E18+E21+E24+E28+E31+E34+E37+E40+E42+E45+E48+E51+E54+E59+E60+E61+E70+E72+E75+E76+E79+E80</f>
        <v>69.26069598116862</v>
      </c>
      <c r="F97" s="9">
        <f>F4+F5+F8+F11+F14+F18+F21+F24+F28+F31+F34+F37+F40+F42+F45+F48+F51+F54+F59+F60+F61+F70+F72+F75+F76+F79+F80</f>
        <v>24.997010095325194</v>
      </c>
      <c r="G97" s="9">
        <f>G4+G5+G8+G11+G14+G18+G21+G24+G28+G31+G34+G37+G40+G42+G45+G48+G51+G54+G59+G60+G61+G70+G72+G75+G76+G79+G80</f>
        <v>316.5624942890893</v>
      </c>
      <c r="H97" s="9">
        <f>H4+H5+H8+H11+H14+H18+H21+H24+H28+H31+H34+H37+H40+H42+H45+H48+H51+H54+H59+H60+H61+H70+H72+H75+H76+H79+H80</f>
        <v>187.81982707441293</v>
      </c>
      <c r="I97" s="14">
        <f>I4+I5+I8+I11+I14+I18+I21+I24+I28+I31+I34+I37+I40+I42+I45+I48+I51+I54+I59+I60+I61+I70+I72+I75+I76+I79+I80</f>
        <v>220.69292569249023</v>
      </c>
      <c r="J97" s="9">
        <v>394.49760000000003</v>
      </c>
      <c r="K97" s="9">
        <v>336.5264000000001</v>
      </c>
      <c r="L97" s="10">
        <v>433.92832000000004</v>
      </c>
    </row>
    <row r="98" spans="2:12" ht="12.75">
      <c r="B98" s="36" t="s">
        <v>17</v>
      </c>
      <c r="C98" s="46">
        <v>7</v>
      </c>
      <c r="D98" s="47">
        <v>169</v>
      </c>
      <c r="E98" s="26">
        <f>E6+E9+E12+E15+E22+E26+E29+E32+E35++E38+E43+E46+E49+E52+E55+E58+E62+E63+E64+E65+E66+E67+E68+E71+E73+E78+E91</f>
        <v>5.99</v>
      </c>
      <c r="F98" s="9">
        <f>F6+F9+F12+F15+F22+F26+F29+F32+F35++F38+F43+F46+F49+F52+F55+F58+F62+F63+F64+F65+F66+F67+F68+F71+F73+F78+F91</f>
        <v>76</v>
      </c>
      <c r="G98" s="9">
        <f>G6+G9+G12+G15+G22+G26+G29+G32+G35++G38+G43+G46+G49+G52+G55+G58+G62+G63+G64+G65+G66+G67+G68+G71+G73+G78+G91</f>
        <v>195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24</v>
      </c>
      <c r="J98" s="9">
        <v>112</v>
      </c>
      <c r="K98" s="9">
        <v>0</v>
      </c>
      <c r="L98" s="10">
        <v>185</v>
      </c>
    </row>
    <row r="99" spans="2:12" ht="12.75">
      <c r="B99" s="36" t="s">
        <v>23</v>
      </c>
      <c r="C99" s="46">
        <v>18.5</v>
      </c>
      <c r="D99" s="47">
        <v>90.7</v>
      </c>
      <c r="E99" s="26">
        <f>E16+E19+E30+E36+E44+E47+E50+E56+E74</f>
        <v>0.54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16.8</v>
      </c>
      <c r="I99" s="14">
        <f>I16+I19+I30+I36+I44+I47+I50+I56+I74</f>
        <v>0</v>
      </c>
      <c r="J99" s="47">
        <v>261</v>
      </c>
      <c r="K99" s="47">
        <v>27</v>
      </c>
      <c r="L99" s="48">
        <v>186</v>
      </c>
    </row>
    <row r="100" spans="2:12" ht="13.5" thickBot="1">
      <c r="B100" s="37" t="s">
        <v>86</v>
      </c>
      <c r="C100" s="29">
        <f aca="true" t="shared" si="0" ref="C100:L100">SUM(C96:C99)</f>
        <v>111.0596</v>
      </c>
      <c r="D100" s="23">
        <f t="shared" si="0"/>
        <v>479.3984670781893</v>
      </c>
      <c r="E100" s="23">
        <f t="shared" si="0"/>
        <v>79.65069598116862</v>
      </c>
      <c r="F100" s="23">
        <f t="shared" si="0"/>
        <v>108.3170100953252</v>
      </c>
      <c r="G100" s="23">
        <f t="shared" si="0"/>
        <v>571.2624942890893</v>
      </c>
      <c r="H100" s="23">
        <f t="shared" si="0"/>
        <v>222.91982707441295</v>
      </c>
      <c r="I100" s="31">
        <f t="shared" si="0"/>
        <v>345.69292569249023</v>
      </c>
      <c r="J100" s="23">
        <f t="shared" si="0"/>
        <v>784.5977740000001</v>
      </c>
      <c r="K100" s="23">
        <f t="shared" si="0"/>
        <v>365.7464000000001</v>
      </c>
      <c r="L100" s="24">
        <f t="shared" si="0"/>
        <v>1055.59832</v>
      </c>
    </row>
    <row r="101" spans="2:12" ht="13.5" thickBot="1">
      <c r="B101" s="142" t="s">
        <v>88</v>
      </c>
      <c r="C101" s="143"/>
      <c r="D101" s="144"/>
      <c r="H101" s="63">
        <f>H100/0.7</f>
        <v>318.4568958205899</v>
      </c>
      <c r="I101" s="64">
        <f>I100/0.7</f>
        <v>493.84703670355754</v>
      </c>
      <c r="K101" s="63">
        <f>K100/0.7</f>
        <v>522.4948571428573</v>
      </c>
      <c r="L101" s="64">
        <f>L100/0.7</f>
        <v>1507.9976000000001</v>
      </c>
    </row>
    <row r="102" spans="2:12" ht="13.5" thickBot="1">
      <c r="B102" s="142" t="s">
        <v>97</v>
      </c>
      <c r="C102" s="143"/>
      <c r="D102" s="144"/>
      <c r="G102" s="65">
        <f>G100+H100</f>
        <v>794.1823213635023</v>
      </c>
      <c r="H102" s="88"/>
      <c r="I102" s="65">
        <f>H101+I101</f>
        <v>812.3039325241475</v>
      </c>
      <c r="J102" s="65">
        <f>J100+K100</f>
        <v>1150.3441740000003</v>
      </c>
      <c r="K102" s="88"/>
      <c r="L102" s="65">
        <f>K101+L101</f>
        <v>2030.4924571428573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2074</v>
      </c>
      <c r="K103" s="88"/>
      <c r="L103" s="79">
        <v>1484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129.4735046364974</v>
      </c>
      <c r="K104" s="88"/>
      <c r="L104" s="65">
        <f>L103-I102-L102</f>
        <v>-1358.7963896670049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1">
      <selection activeCell="P85" sqref="P85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15</v>
      </c>
      <c r="F1" s="148"/>
      <c r="G1" s="148"/>
      <c r="H1" s="154"/>
      <c r="I1" s="155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/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/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/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/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80"/>
      <c r="D96" s="81"/>
      <c r="E96" s="25">
        <f>E7+E10+E13+E17+E20+E23+E25+E27+E33+E39+E41+E53+E57+E77+E82+E83+E84+E85+E86+E87+E88+E89+E90</f>
        <v>0</v>
      </c>
      <c r="F96" s="21">
        <f>F7+F10+F13+F17+F20+F23+F25+F27+F33+F39+F41+F53+F57+F77+F82+F83+F84+F85+F86+F87+F88+F89+F90</f>
        <v>0</v>
      </c>
      <c r="G96" s="21">
        <f>G7+G10+G13+G17+G20+G23+G25+G27+G33+G39+G41+G53+G57+G77+G82+G83+G84+G85+G86+G87+G88+G89+G90</f>
        <v>0</v>
      </c>
      <c r="H96" s="21">
        <f>H7+H10+H13+H17+H20+H23+H25+H27+H33+H39+H41+H53+H57+H77+H82+H83+H84+H85+H86+H87+H88+H89+H90</f>
        <v>0</v>
      </c>
      <c r="I96" s="30">
        <f>I7+I10+I13+I17+I20+I23+I25+I27+I33+I39+I41+I53+I57+I77+I82+I83+I84+I85+I86+I87+I88+I89+I90</f>
        <v>0</v>
      </c>
      <c r="J96" s="81"/>
      <c r="K96" s="81"/>
      <c r="L96" s="82"/>
    </row>
    <row r="97" spans="2:12" ht="12.75">
      <c r="B97" s="36" t="s">
        <v>4</v>
      </c>
      <c r="C97" s="8">
        <v>19.2024</v>
      </c>
      <c r="D97" s="9">
        <v>59.03063657407408</v>
      </c>
      <c r="E97" s="26">
        <f>E4+E5+E8+E11+E14+E18+E21+E24+E28+E31+E34+E37+E40+E42+E45+E48+E51+E54+E59+E60+E61+E70+E72+E75+E76+E79+E80</f>
        <v>0</v>
      </c>
      <c r="F97" s="9">
        <f>F4+F5+F8+F11+F14+F18+F21+F24+F28+F31+F34+F37+F40+F42+F45+F48+F51+F54+F59+F60+F61+F70+F72+F75+F76+F79+F80</f>
        <v>0</v>
      </c>
      <c r="G97" s="9">
        <f>G4+G5+G8+G11+G14+G18+G21+G24+G28+G31+G34+G37+G40+G42+G45+G48+G51+G54+G59+G60+G61+G70+G72+G75+G76+G79+G80</f>
        <v>0</v>
      </c>
      <c r="H97" s="9">
        <f>H4+H5+H8+H11+H14+H18+H21+H24+H28+H31+H34+H37+H40+H42+H45+H48+H51+H54+H59+H60+H61+H70+H72+H75+H76+H79+H80</f>
        <v>0</v>
      </c>
      <c r="I97" s="14">
        <f>I4+I5+I8+I11+I14+I18+I21+I24+I28+I31+I34+I37+I40+I42+I45+I48+I51+I54+I59+I60+I61+I70+I72+I75+I76+I79+I80</f>
        <v>0</v>
      </c>
      <c r="J97" s="9">
        <v>98.62440000000001</v>
      </c>
      <c r="K97" s="9">
        <v>84.13160000000002</v>
      </c>
      <c r="L97" s="10">
        <v>108.48208000000001</v>
      </c>
    </row>
    <row r="98" spans="2:12" ht="12.75">
      <c r="B98" s="36" t="s">
        <v>17</v>
      </c>
      <c r="C98" s="46"/>
      <c r="D98" s="47"/>
      <c r="E98" s="26">
        <f>E6+E9+E12+E15+E22+E26+E29+E32+E35++E38+E43+E46+E49+E52+E55+E58+E62+E63+E64+E65+E66+E67+E68+E71+E73+E78+E91</f>
        <v>0</v>
      </c>
      <c r="F98" s="9">
        <f>F6+F9+F12+F15+F22+F26+F29+F32+F35++F38+F43+F46+F49+F52+F55+F58+F62+F63+F64+F65+F66+F67+F68+F71+F73+F78+F91</f>
        <v>0</v>
      </c>
      <c r="G98" s="9">
        <f>G6+G9+G12+G15+G22+G26+G29+G32+G35++G38+G43+G46+G49+G52+G55+G58+G62+G63+G64+G65+G66+G67+G68+G71+G73+G78+G91</f>
        <v>0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0</v>
      </c>
      <c r="J98" s="47"/>
      <c r="K98" s="47"/>
      <c r="L98" s="48"/>
    </row>
    <row r="99" spans="2:12" ht="12.75">
      <c r="B99" s="36" t="s">
        <v>23</v>
      </c>
      <c r="C99" s="46"/>
      <c r="D99" s="47"/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0</v>
      </c>
      <c r="I99" s="14">
        <f>I16+I19+I30+I36+I44+I47+I50+I56+I74</f>
        <v>0</v>
      </c>
      <c r="J99" s="47"/>
      <c r="K99" s="47"/>
      <c r="L99" s="48"/>
    </row>
    <row r="100" spans="2:12" ht="13.5" thickBot="1">
      <c r="B100" s="37" t="s">
        <v>86</v>
      </c>
      <c r="C100" s="29">
        <f aca="true" t="shared" si="0" ref="C100:L100">SUM(C96:C99)</f>
        <v>19.2024</v>
      </c>
      <c r="D100" s="23">
        <f t="shared" si="0"/>
        <v>59.03063657407408</v>
      </c>
      <c r="E100" s="23">
        <f t="shared" si="0"/>
        <v>0</v>
      </c>
      <c r="F100" s="23">
        <f t="shared" si="0"/>
        <v>0</v>
      </c>
      <c r="G100" s="23">
        <f t="shared" si="0"/>
        <v>0</v>
      </c>
      <c r="H100" s="23">
        <f t="shared" si="0"/>
        <v>0</v>
      </c>
      <c r="I100" s="31">
        <f t="shared" si="0"/>
        <v>0</v>
      </c>
      <c r="J100" s="23">
        <f t="shared" si="0"/>
        <v>98.62440000000001</v>
      </c>
      <c r="K100" s="23">
        <f t="shared" si="0"/>
        <v>84.13160000000002</v>
      </c>
      <c r="L100" s="24">
        <f t="shared" si="0"/>
        <v>108.48208000000001</v>
      </c>
    </row>
    <row r="101" spans="2:12" ht="13.5" thickBot="1">
      <c r="B101" s="142" t="s">
        <v>88</v>
      </c>
      <c r="C101" s="143"/>
      <c r="D101" s="144"/>
      <c r="H101" s="63">
        <f>H100/0.7</f>
        <v>0</v>
      </c>
      <c r="I101" s="64">
        <f>I100/0.7</f>
        <v>0</v>
      </c>
      <c r="K101" s="63">
        <f>K100/0.7</f>
        <v>120.18800000000003</v>
      </c>
      <c r="L101" s="64">
        <f>L100/0.7</f>
        <v>154.97440000000003</v>
      </c>
    </row>
    <row r="102" spans="2:12" ht="13.5" thickBot="1">
      <c r="B102" s="142" t="s">
        <v>97</v>
      </c>
      <c r="C102" s="143"/>
      <c r="D102" s="144"/>
      <c r="G102" s="65">
        <f>G100+H100</f>
        <v>0</v>
      </c>
      <c r="H102" s="88"/>
      <c r="I102" s="65">
        <f>H101+I101</f>
        <v>0</v>
      </c>
      <c r="J102" s="65">
        <f>J100+K100</f>
        <v>182.75600000000003</v>
      </c>
      <c r="K102" s="88"/>
      <c r="L102" s="65">
        <f>K101+L101</f>
        <v>275.16240000000005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485</v>
      </c>
      <c r="K103" s="88"/>
      <c r="L103" s="79">
        <v>740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302.24399999999997</v>
      </c>
      <c r="K104" s="88"/>
      <c r="L104" s="65">
        <f>L103-I102-L102</f>
        <v>464.83759999999995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0">
      <selection activeCell="P99" sqref="P99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56" t="s">
        <v>83</v>
      </c>
      <c r="F1" s="157"/>
      <c r="G1" s="157"/>
      <c r="H1" s="158"/>
      <c r="I1" s="159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60" t="s">
        <v>89</v>
      </c>
      <c r="H2" s="161"/>
      <c r="I2" s="162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54" t="s">
        <v>71</v>
      </c>
      <c r="H3" s="54" t="s">
        <v>72</v>
      </c>
      <c r="I3" s="55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52"/>
      <c r="H4" s="52"/>
      <c r="I4" s="53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/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8"/>
      <c r="F71" s="9"/>
      <c r="G71" s="9"/>
      <c r="H71" s="9"/>
      <c r="I71" s="10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8"/>
      <c r="F78" s="9"/>
      <c r="G78" s="9"/>
      <c r="H78" s="9"/>
      <c r="I78" s="10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96">
        <v>42.6</v>
      </c>
      <c r="F90" s="97">
        <v>80.8</v>
      </c>
      <c r="G90" s="97">
        <v>659</v>
      </c>
      <c r="H90" s="97">
        <v>202</v>
      </c>
      <c r="I90" s="98">
        <v>82.8</v>
      </c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8"/>
      <c r="F91" s="9"/>
      <c r="G91" s="9"/>
      <c r="H91" s="9"/>
      <c r="I91" s="10"/>
    </row>
    <row r="92" spans="1:9" ht="12.75">
      <c r="A92" s="92" t="s">
        <v>108</v>
      </c>
      <c r="B92" s="4" t="s">
        <v>19</v>
      </c>
      <c r="C92" s="40"/>
      <c r="D92" s="93"/>
      <c r="E92" s="8">
        <v>0</v>
      </c>
      <c r="F92" s="9">
        <v>0</v>
      </c>
      <c r="G92" s="9">
        <v>0</v>
      </c>
      <c r="H92" s="9">
        <v>0</v>
      </c>
      <c r="I92" s="10">
        <v>0</v>
      </c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80">
        <v>46.4</v>
      </c>
      <c r="D96" s="81">
        <v>21.3</v>
      </c>
      <c r="E96" s="25">
        <f>E7+E10+E13+E17+E20+E23+E25+E27+E33+E39+E41+E53+E57+E77+E82+E83+E84+E85+E86+E87+E88+E89+E90</f>
        <v>42.6</v>
      </c>
      <c r="F96" s="21">
        <f>F7+F10+F13+F17+F20+F23+F25+F27+F33+F39+F41+F53+F57+F77+F82+F83+F84+F85+F86+F87+F88+F89+F90</f>
        <v>80.8</v>
      </c>
      <c r="G96" s="21">
        <f>G7+G10+G13+G17+G20+G23+G25+G27+G33+G39+G41+G53+G57+G77+G82+G83+G84+G85+G86+G87+G88+G89+G90</f>
        <v>659</v>
      </c>
      <c r="H96" s="21">
        <f>H7+H10+H13+H17+H20+H23+H25+H27+H33+H39+H41+H53+H57+H77+H82+H83+H84+H85+H86+H87+H88+H89+H90</f>
        <v>202</v>
      </c>
      <c r="I96" s="22">
        <f>I7+I10+I13+I17+I20+I23+I25+I27+I33+I39+I41+I53+I57+I77+I82+I83+I84+I85+I86+I87+I88+I89+I90</f>
        <v>82.8</v>
      </c>
      <c r="J96" s="21">
        <f>12.4+423</f>
        <v>435.4</v>
      </c>
      <c r="K96" s="21">
        <f>12.4+54.9</f>
        <v>67.3</v>
      </c>
      <c r="L96" s="22">
        <f>11+248</f>
        <v>259</v>
      </c>
    </row>
    <row r="97" spans="2:12" ht="12.75">
      <c r="B97" s="36" t="s">
        <v>4</v>
      </c>
      <c r="C97" s="46"/>
      <c r="D97" s="47"/>
      <c r="E97" s="26">
        <f>E4+E5+E8+E11+E14+E18+E21+E24+E28+E31+E34+E37+E40+E42+E45+E48+E51+E54+E59+E60+E61+E70+E72+E75+E76+E79+E80</f>
        <v>0</v>
      </c>
      <c r="F97" s="9">
        <f>F4+F5+F8+F11+F14+F18+F21+F24+F28+F31+F34+F37+F40+F42+F45+F48+F51+F54+F59+F60+F61+F70+F72+F75+F76+F79+F80</f>
        <v>0</v>
      </c>
      <c r="G97" s="9">
        <f>G4+G5+G8+G11+G14+G18+G21+G24+G28+G31+G34+G37+G40+G42+G45+G48+G51+G54+G59+G60+G61+G70+G72+G75+G76+G79+G80</f>
        <v>0</v>
      </c>
      <c r="H97" s="9">
        <f>H4+H5+H8+H11+H14+H18+H21+H24+H28+H31+H34+H37+H40+H42+H45+H48+H51+H54+H59+H60+H61+H70+H72+H75+H76+H79+H80</f>
        <v>0</v>
      </c>
      <c r="I97" s="10">
        <f>I4+I5+I8+I11+I14+I18+I21+I24+I28+I31+I34+I37+I40+I42+I45+I48+I51+I54+I59+I60+I61+I70+I72+I75+I76+I79+I80</f>
        <v>0</v>
      </c>
      <c r="J97" s="47"/>
      <c r="K97" s="47"/>
      <c r="L97" s="48"/>
    </row>
    <row r="98" spans="2:12" ht="12.75">
      <c r="B98" s="36" t="s">
        <v>17</v>
      </c>
      <c r="C98" s="46"/>
      <c r="D98" s="47"/>
      <c r="E98" s="26">
        <f>E6+E9+E12+E15+E22+E26+E29+E32+E35++E38+E43+E46+E49+E52+E55+E58+E62+E63+E64+E65+E66+E67+E68+E71+E73+E78+E91</f>
        <v>0</v>
      </c>
      <c r="F98" s="9">
        <f>F6+F9+F12+F15+F22+F26+F29+F32+F35++F38+F43+F46+F49+F52+F55+F58+F62+F63+F64+F65+F66+F67+F68+F71+F73+F78+F91</f>
        <v>0</v>
      </c>
      <c r="G98" s="9">
        <f>G6+G9+G12+G15+G22+G26+G29+G32+G35++G38+G43+G46+G49+G52+G55+G58+G62+G63+G64+G65+G66+G67+G68+G71+G73+G78+G91</f>
        <v>0</v>
      </c>
      <c r="H98" s="9">
        <f>H6+H9+H12+H15+H22+H26+H29+H32+H35++H38+H43+H46+H49+H52+H55+H58+H62+H63+H64+H65+H66+H67+H68+H71+H73+H78+H91</f>
        <v>0</v>
      </c>
      <c r="I98" s="10">
        <f>I6+I9+I12+I15+I22+I26+I29+I32+I35++I38+I43+I46+I49+I52+I55+I58+I62+I63+I64+I65+I66+I67+I68+I71+I73+I78+I91</f>
        <v>0</v>
      </c>
      <c r="J98" s="47"/>
      <c r="K98" s="47"/>
      <c r="L98" s="48"/>
    </row>
    <row r="99" spans="2:12" ht="12.75">
      <c r="B99" s="36" t="s">
        <v>23</v>
      </c>
      <c r="C99" s="46"/>
      <c r="D99" s="47"/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0</v>
      </c>
      <c r="I99" s="10">
        <f>I16+I19+I30+I36+I44+I47+I50+I56+I74</f>
        <v>0</v>
      </c>
      <c r="J99" s="47"/>
      <c r="K99" s="47"/>
      <c r="L99" s="48"/>
    </row>
    <row r="100" spans="2:12" ht="13.5" thickBot="1">
      <c r="B100" s="37" t="s">
        <v>86</v>
      </c>
      <c r="C100" s="27">
        <f aca="true" t="shared" si="0" ref="C100:L100">SUM(C96:C99)</f>
        <v>46.4</v>
      </c>
      <c r="D100" s="27">
        <f t="shared" si="0"/>
        <v>21.3</v>
      </c>
      <c r="E100" s="27">
        <f t="shared" si="0"/>
        <v>42.6</v>
      </c>
      <c r="F100" s="23">
        <f t="shared" si="0"/>
        <v>80.8</v>
      </c>
      <c r="G100" s="23">
        <f t="shared" si="0"/>
        <v>659</v>
      </c>
      <c r="H100" s="23">
        <f t="shared" si="0"/>
        <v>202</v>
      </c>
      <c r="I100" s="24">
        <f t="shared" si="0"/>
        <v>82.8</v>
      </c>
      <c r="J100" s="29">
        <f t="shared" si="0"/>
        <v>435.4</v>
      </c>
      <c r="K100" s="23">
        <f t="shared" si="0"/>
        <v>67.3</v>
      </c>
      <c r="L100" s="24">
        <f t="shared" si="0"/>
        <v>259</v>
      </c>
    </row>
    <row r="101" spans="2:12" ht="13.5" thickBot="1">
      <c r="B101" s="142" t="s">
        <v>88</v>
      </c>
      <c r="C101" s="143"/>
      <c r="D101" s="144"/>
      <c r="H101" s="63">
        <f>H100/0.7</f>
        <v>288.5714285714286</v>
      </c>
      <c r="I101" s="64">
        <f>I100/0.7</f>
        <v>118.28571428571429</v>
      </c>
      <c r="K101" s="63">
        <f>K100/0.7</f>
        <v>96.14285714285714</v>
      </c>
      <c r="L101" s="64">
        <f>L100/0.7</f>
        <v>370</v>
      </c>
    </row>
    <row r="102" spans="2:12" ht="13.5" thickBot="1">
      <c r="B102" s="142" t="s">
        <v>97</v>
      </c>
      <c r="C102" s="143"/>
      <c r="D102" s="144"/>
      <c r="G102" s="65">
        <f>G100+H100</f>
        <v>861</v>
      </c>
      <c r="H102" s="88"/>
      <c r="I102" s="65">
        <f>H101+I101</f>
        <v>406.8571428571429</v>
      </c>
      <c r="J102" s="65">
        <f>J100+K100</f>
        <v>502.7</v>
      </c>
      <c r="K102" s="88"/>
      <c r="L102" s="65">
        <f>K101+L101</f>
        <v>466.1428571428571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800</v>
      </c>
      <c r="K103" s="88"/>
      <c r="L103" s="79">
        <v>800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-563.7</v>
      </c>
      <c r="K104" s="88"/>
      <c r="L104" s="65">
        <f>L103-I102-L102</f>
        <v>-73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47">
      <selection activeCell="N58" sqref="N58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16384" width="8.8515625" style="0" customWidth="1"/>
  </cols>
  <sheetData>
    <row r="1" spans="2:6" ht="15.75">
      <c r="B1" s="1"/>
      <c r="C1" s="145" t="s">
        <v>2</v>
      </c>
      <c r="D1" s="146"/>
      <c r="E1" s="156" t="s">
        <v>87</v>
      </c>
      <c r="F1" s="163"/>
    </row>
    <row r="2" spans="1:6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7" t="s">
        <v>81</v>
      </c>
    </row>
    <row r="3" spans="1:6" ht="12.75">
      <c r="A3" s="2"/>
      <c r="B3" s="2"/>
      <c r="C3" s="3" t="s">
        <v>68</v>
      </c>
      <c r="D3" s="5" t="s">
        <v>90</v>
      </c>
      <c r="E3" s="6" t="s">
        <v>70</v>
      </c>
      <c r="F3" s="7" t="s">
        <v>70</v>
      </c>
    </row>
    <row r="4" spans="1:6" ht="12.75">
      <c r="A4" s="4" t="s">
        <v>3</v>
      </c>
      <c r="B4" s="4" t="s">
        <v>4</v>
      </c>
      <c r="C4" s="38">
        <v>300</v>
      </c>
      <c r="D4" s="39">
        <v>300</v>
      </c>
      <c r="E4" s="8">
        <v>0</v>
      </c>
      <c r="F4" s="10">
        <v>12.205097265451148</v>
      </c>
    </row>
    <row r="5" spans="1:6" ht="12.75">
      <c r="A5" s="4" t="s">
        <v>16</v>
      </c>
      <c r="B5" s="4" t="s">
        <v>4</v>
      </c>
      <c r="C5" s="40">
        <v>500</v>
      </c>
      <c r="D5" s="39">
        <v>200</v>
      </c>
      <c r="E5" s="8">
        <v>3.0773744183569858</v>
      </c>
      <c r="F5" s="10">
        <v>8.686468646864686</v>
      </c>
    </row>
    <row r="6" spans="1:6" ht="12.75">
      <c r="A6" s="4" t="s">
        <v>16</v>
      </c>
      <c r="B6" s="4" t="s">
        <v>17</v>
      </c>
      <c r="C6" s="40">
        <v>500</v>
      </c>
      <c r="D6" s="39">
        <v>200</v>
      </c>
      <c r="E6" s="8">
        <v>1.39</v>
      </c>
      <c r="F6" s="10">
        <v>42</v>
      </c>
    </row>
    <row r="7" spans="1:6" ht="12.75">
      <c r="A7" s="4" t="s">
        <v>18</v>
      </c>
      <c r="B7" s="4" t="s">
        <v>19</v>
      </c>
      <c r="C7" s="40">
        <v>200</v>
      </c>
      <c r="D7" s="39">
        <v>75</v>
      </c>
      <c r="E7" s="8">
        <v>5.01</v>
      </c>
      <c r="F7" s="10">
        <v>9</v>
      </c>
    </row>
    <row r="8" spans="1:6" ht="12.75">
      <c r="A8" s="4" t="s">
        <v>18</v>
      </c>
      <c r="B8" s="4" t="s">
        <v>4</v>
      </c>
      <c r="C8" s="40">
        <v>800</v>
      </c>
      <c r="D8" s="39">
        <v>405</v>
      </c>
      <c r="E8" s="8">
        <v>3.9490634675321408</v>
      </c>
      <c r="F8" s="10">
        <v>17.59009900990099</v>
      </c>
    </row>
    <row r="9" spans="1:6" ht="12.75">
      <c r="A9" s="4" t="s">
        <v>20</v>
      </c>
      <c r="B9" s="4" t="s">
        <v>17</v>
      </c>
      <c r="C9" s="38">
        <v>900</v>
      </c>
      <c r="D9" s="39">
        <v>200</v>
      </c>
      <c r="E9" s="8">
        <v>5.74</v>
      </c>
      <c r="F9" s="10">
        <v>49.91</v>
      </c>
    </row>
    <row r="10" spans="1:6" ht="12.75">
      <c r="A10" s="4" t="s">
        <v>21</v>
      </c>
      <c r="B10" s="4" t="s">
        <v>19</v>
      </c>
      <c r="C10" s="40">
        <v>265</v>
      </c>
      <c r="D10" s="39">
        <v>46</v>
      </c>
      <c r="E10" s="8">
        <v>6.65</v>
      </c>
      <c r="F10" s="10">
        <v>11.9</v>
      </c>
    </row>
    <row r="11" spans="1:6" ht="12.75">
      <c r="A11" s="4" t="s">
        <v>21</v>
      </c>
      <c r="B11" s="4" t="s">
        <v>4</v>
      </c>
      <c r="C11" s="40">
        <v>2595</v>
      </c>
      <c r="D11" s="39">
        <v>217</v>
      </c>
      <c r="E11" s="8">
        <v>25.38637239727097</v>
      </c>
      <c r="F11" s="10">
        <v>9.424818481848185</v>
      </c>
    </row>
    <row r="12" spans="1:6" ht="12.75">
      <c r="A12" s="4" t="s">
        <v>21</v>
      </c>
      <c r="B12" s="4" t="s">
        <v>17</v>
      </c>
      <c r="C12" s="40">
        <v>738</v>
      </c>
      <c r="D12" s="39">
        <v>192</v>
      </c>
      <c r="E12" s="8">
        <v>4.14</v>
      </c>
      <c r="F12" s="10">
        <v>47.91</v>
      </c>
    </row>
    <row r="13" spans="1:6" ht="12.75">
      <c r="A13" s="4" t="s">
        <v>22</v>
      </c>
      <c r="B13" s="4" t="s">
        <v>19</v>
      </c>
      <c r="C13" s="40">
        <v>192</v>
      </c>
      <c r="D13" s="39">
        <v>56</v>
      </c>
      <c r="E13" s="8">
        <v>4.81</v>
      </c>
      <c r="F13" s="10">
        <v>8.64</v>
      </c>
    </row>
    <row r="14" spans="1:6" ht="12.75">
      <c r="A14" s="4" t="s">
        <v>22</v>
      </c>
      <c r="B14" s="4" t="s">
        <v>4</v>
      </c>
      <c r="C14" s="40">
        <v>1056</v>
      </c>
      <c r="D14" s="39">
        <v>308</v>
      </c>
      <c r="E14" s="8">
        <v>7.8112942168686095</v>
      </c>
      <c r="F14" s="10">
        <v>13.377161716171617</v>
      </c>
    </row>
    <row r="15" spans="1:6" ht="12.75">
      <c r="A15" s="4" t="s">
        <v>22</v>
      </c>
      <c r="B15" s="4" t="s">
        <v>17</v>
      </c>
      <c r="C15" s="40">
        <v>480</v>
      </c>
      <c r="D15" s="39">
        <v>140</v>
      </c>
      <c r="E15" s="8">
        <v>2.39</v>
      </c>
      <c r="F15" s="10">
        <v>34.93</v>
      </c>
    </row>
    <row r="16" spans="1:6" ht="12.75">
      <c r="A16" s="4" t="s">
        <v>22</v>
      </c>
      <c r="B16" s="4" t="s">
        <v>23</v>
      </c>
      <c r="C16" s="40">
        <v>192</v>
      </c>
      <c r="D16" s="39">
        <v>56</v>
      </c>
      <c r="E16" s="8">
        <v>0.14</v>
      </c>
      <c r="F16" s="10">
        <v>0</v>
      </c>
    </row>
    <row r="17" spans="1:6" ht="12.75">
      <c r="A17" s="4" t="s">
        <v>24</v>
      </c>
      <c r="B17" s="4" t="s">
        <v>19</v>
      </c>
      <c r="C17" s="40">
        <v>90</v>
      </c>
      <c r="D17" s="39">
        <v>8</v>
      </c>
      <c r="E17" s="8">
        <v>2.26</v>
      </c>
      <c r="F17" s="10">
        <v>4.05</v>
      </c>
    </row>
    <row r="18" spans="1:6" ht="12.75">
      <c r="A18" s="4" t="s">
        <v>24</v>
      </c>
      <c r="B18" s="4" t="s">
        <v>4</v>
      </c>
      <c r="C18" s="40">
        <v>150</v>
      </c>
      <c r="D18" s="39">
        <v>12</v>
      </c>
      <c r="E18" s="8">
        <v>1.4736512536044337</v>
      </c>
      <c r="F18" s="10">
        <v>0.5211881188118811</v>
      </c>
    </row>
    <row r="19" spans="1:6" ht="12.75">
      <c r="A19" s="4" t="s">
        <v>24</v>
      </c>
      <c r="B19" s="4" t="s">
        <v>23</v>
      </c>
      <c r="C19" s="40">
        <v>60</v>
      </c>
      <c r="D19" s="39">
        <v>5</v>
      </c>
      <c r="E19" s="8">
        <v>0.05</v>
      </c>
      <c r="F19" s="10">
        <v>0</v>
      </c>
    </row>
    <row r="20" spans="1:6" ht="12.75">
      <c r="A20" s="4" t="s">
        <v>25</v>
      </c>
      <c r="B20" s="4" t="s">
        <v>19</v>
      </c>
      <c r="C20" s="40">
        <v>200</v>
      </c>
      <c r="D20" s="39">
        <v>20</v>
      </c>
      <c r="E20" s="8">
        <v>5.01</v>
      </c>
      <c r="F20" s="10">
        <v>9</v>
      </c>
    </row>
    <row r="21" spans="1:6" ht="12.75">
      <c r="A21" s="4" t="s">
        <v>26</v>
      </c>
      <c r="B21" s="4" t="s">
        <v>4</v>
      </c>
      <c r="C21" s="38">
        <v>700</v>
      </c>
      <c r="D21" s="39">
        <v>340</v>
      </c>
      <c r="E21" s="8">
        <v>3.620275525578107</v>
      </c>
      <c r="F21" s="10">
        <v>14.766996699669965</v>
      </c>
    </row>
    <row r="22" spans="1:6" ht="12.75">
      <c r="A22" s="4" t="s">
        <v>28</v>
      </c>
      <c r="B22" s="4" t="s">
        <v>17</v>
      </c>
      <c r="C22" s="38">
        <v>900</v>
      </c>
      <c r="D22" s="39">
        <v>200</v>
      </c>
      <c r="E22" s="8">
        <v>5.74</v>
      </c>
      <c r="F22" s="10">
        <v>49.91</v>
      </c>
    </row>
    <row r="23" spans="1:6" ht="12.75">
      <c r="A23" s="4" t="s">
        <v>27</v>
      </c>
      <c r="B23" s="4" t="s">
        <v>19</v>
      </c>
      <c r="C23" s="38">
        <v>660</v>
      </c>
      <c r="D23" s="39">
        <v>200</v>
      </c>
      <c r="E23" s="8">
        <v>16.5</v>
      </c>
      <c r="F23" s="10">
        <v>29.6</v>
      </c>
    </row>
    <row r="24" spans="1:6" ht="12.75">
      <c r="A24" s="4" t="s">
        <v>29</v>
      </c>
      <c r="B24" s="4" t="s">
        <v>4</v>
      </c>
      <c r="C24" s="38">
        <v>332</v>
      </c>
      <c r="D24" s="39">
        <v>146</v>
      </c>
      <c r="E24" s="8">
        <v>1.8920059085622707</v>
      </c>
      <c r="F24" s="10">
        <v>6.34112211221122</v>
      </c>
    </row>
    <row r="25" spans="1:6" ht="12.75">
      <c r="A25" s="4" t="s">
        <v>30</v>
      </c>
      <c r="B25" s="4" t="s">
        <v>19</v>
      </c>
      <c r="C25" s="38">
        <v>450</v>
      </c>
      <c r="D25" s="39">
        <v>60</v>
      </c>
      <c r="E25" s="8">
        <v>11.3</v>
      </c>
      <c r="F25" s="10">
        <v>20.3</v>
      </c>
    </row>
    <row r="26" spans="1:6" ht="12.75">
      <c r="A26" s="4" t="s">
        <v>31</v>
      </c>
      <c r="B26" s="4" t="s">
        <v>17</v>
      </c>
      <c r="C26" s="38">
        <v>450</v>
      </c>
      <c r="D26" s="39">
        <v>300</v>
      </c>
      <c r="E26" s="8">
        <v>0</v>
      </c>
      <c r="F26" s="10">
        <v>40.7</v>
      </c>
    </row>
    <row r="27" spans="1:6" ht="12.75">
      <c r="A27" s="4" t="s">
        <v>32</v>
      </c>
      <c r="B27" s="4" t="s">
        <v>19</v>
      </c>
      <c r="C27" s="38">
        <v>1100</v>
      </c>
      <c r="D27" s="39">
        <v>370</v>
      </c>
      <c r="E27" s="8">
        <v>27.6</v>
      </c>
      <c r="F27" s="10">
        <v>49.5</v>
      </c>
    </row>
    <row r="28" spans="1:6" ht="12.75">
      <c r="A28" s="4" t="s">
        <v>32</v>
      </c>
      <c r="B28" s="4" t="s">
        <v>4</v>
      </c>
      <c r="C28" s="38">
        <v>1600</v>
      </c>
      <c r="D28" s="39">
        <v>540</v>
      </c>
      <c r="E28" s="8">
        <v>10.994345905611807</v>
      </c>
      <c r="F28" s="10">
        <v>23.453465346534653</v>
      </c>
    </row>
    <row r="29" spans="1:6" ht="12.75">
      <c r="A29" s="4" t="s">
        <v>32</v>
      </c>
      <c r="B29" s="4" t="s">
        <v>17</v>
      </c>
      <c r="C29" s="38">
        <v>1750</v>
      </c>
      <c r="D29" s="39">
        <v>589</v>
      </c>
      <c r="E29" s="8">
        <v>7.11</v>
      </c>
      <c r="F29" s="10">
        <v>143.82</v>
      </c>
    </row>
    <row r="30" spans="1:6" ht="12.75">
      <c r="A30" s="4" t="s">
        <v>32</v>
      </c>
      <c r="B30" s="4" t="s">
        <v>23</v>
      </c>
      <c r="C30" s="40">
        <v>550</v>
      </c>
      <c r="D30" s="39">
        <v>1</v>
      </c>
      <c r="E30" s="8">
        <v>0.37</v>
      </c>
      <c r="F30" s="10">
        <v>0</v>
      </c>
    </row>
    <row r="31" spans="1:6" ht="12.75">
      <c r="A31" s="4" t="s">
        <v>33</v>
      </c>
      <c r="B31" s="4" t="s">
        <v>4</v>
      </c>
      <c r="C31" s="40">
        <v>1000</v>
      </c>
      <c r="D31" s="39">
        <v>200</v>
      </c>
      <c r="E31" s="8">
        <v>8.448244370452878</v>
      </c>
      <c r="F31" s="10">
        <v>8.686468646864686</v>
      </c>
    </row>
    <row r="32" spans="1:6" ht="12.75">
      <c r="A32" s="4" t="s">
        <v>34</v>
      </c>
      <c r="B32" s="4" t="s">
        <v>17</v>
      </c>
      <c r="C32" s="38">
        <v>795</v>
      </c>
      <c r="D32" s="39">
        <v>200</v>
      </c>
      <c r="E32" s="8">
        <v>4.6</v>
      </c>
      <c r="F32" s="10">
        <v>49.9</v>
      </c>
    </row>
    <row r="33" spans="1:6" ht="12.75">
      <c r="A33" s="4" t="s">
        <v>35</v>
      </c>
      <c r="B33" s="4" t="s">
        <v>19</v>
      </c>
      <c r="C33" s="40">
        <v>250</v>
      </c>
      <c r="D33" s="39">
        <v>8</v>
      </c>
      <c r="E33" s="8">
        <v>6.28</v>
      </c>
      <c r="F33" s="10">
        <v>1.12</v>
      </c>
    </row>
    <row r="34" spans="1:6" ht="12.75">
      <c r="A34" s="4" t="s">
        <v>35</v>
      </c>
      <c r="B34" s="4" t="s">
        <v>4</v>
      </c>
      <c r="C34" s="40">
        <v>142</v>
      </c>
      <c r="D34" s="39">
        <v>14</v>
      </c>
      <c r="E34" s="8">
        <v>1.36478237903351</v>
      </c>
      <c r="F34" s="10">
        <v>0.6080528052805281</v>
      </c>
    </row>
    <row r="35" spans="1:6" ht="12.75">
      <c r="A35" s="4" t="s">
        <v>35</v>
      </c>
      <c r="B35" s="4" t="s">
        <v>17</v>
      </c>
      <c r="C35" s="40">
        <v>250</v>
      </c>
      <c r="D35" s="39">
        <v>8</v>
      </c>
      <c r="E35" s="8">
        <v>2.55</v>
      </c>
      <c r="F35" s="10">
        <v>1.91</v>
      </c>
    </row>
    <row r="36" spans="1:6" ht="12.75">
      <c r="A36" s="4" t="s">
        <v>35</v>
      </c>
      <c r="B36" s="4" t="s">
        <v>23</v>
      </c>
      <c r="C36" s="40">
        <v>111</v>
      </c>
      <c r="D36" s="39">
        <v>6</v>
      </c>
      <c r="E36" s="8">
        <v>0.08</v>
      </c>
      <c r="F36" s="10">
        <v>0</v>
      </c>
    </row>
    <row r="37" spans="1:6" ht="12.75">
      <c r="A37" s="4" t="s">
        <v>36</v>
      </c>
      <c r="B37" s="4" t="s">
        <v>4</v>
      </c>
      <c r="C37" s="40">
        <v>525</v>
      </c>
      <c r="D37" s="39">
        <v>84</v>
      </c>
      <c r="E37" s="8">
        <v>4.676145325530348</v>
      </c>
      <c r="F37" s="10">
        <v>3.648316831683168</v>
      </c>
    </row>
    <row r="38" spans="1:6" ht="12.75">
      <c r="A38" s="4" t="s">
        <v>36</v>
      </c>
      <c r="B38" s="4" t="s">
        <v>17</v>
      </c>
      <c r="C38" s="40">
        <v>225</v>
      </c>
      <c r="D38" s="39">
        <v>42</v>
      </c>
      <c r="E38" s="8">
        <v>1.6</v>
      </c>
      <c r="F38" s="10">
        <v>10.49</v>
      </c>
    </row>
    <row r="39" spans="1:6" ht="12.75">
      <c r="A39" s="4" t="s">
        <v>37</v>
      </c>
      <c r="B39" s="4" t="s">
        <v>19</v>
      </c>
      <c r="C39" s="40">
        <v>600</v>
      </c>
      <c r="D39" s="39">
        <v>53</v>
      </c>
      <c r="E39" s="8">
        <v>15</v>
      </c>
      <c r="F39" s="10">
        <v>27</v>
      </c>
    </row>
    <row r="40" spans="1:6" ht="12.75">
      <c r="A40" s="4" t="s">
        <v>37</v>
      </c>
      <c r="B40" s="4" t="s">
        <v>4</v>
      </c>
      <c r="C40" s="40">
        <v>300</v>
      </c>
      <c r="D40" s="39">
        <v>27</v>
      </c>
      <c r="E40" s="8">
        <v>2.912900074202784</v>
      </c>
      <c r="F40" s="10">
        <v>1.1726732673267326</v>
      </c>
    </row>
    <row r="41" spans="1:6" ht="12.75">
      <c r="A41" s="4" t="s">
        <v>38</v>
      </c>
      <c r="B41" s="4" t="s">
        <v>19</v>
      </c>
      <c r="C41" s="40">
        <v>910</v>
      </c>
      <c r="D41" s="39">
        <v>283</v>
      </c>
      <c r="E41" s="8">
        <v>33.1</v>
      </c>
      <c r="F41" s="10">
        <v>59.4</v>
      </c>
    </row>
    <row r="42" spans="1:6" ht="12.75">
      <c r="A42" s="4" t="s">
        <v>38</v>
      </c>
      <c r="B42" s="4" t="s">
        <v>4</v>
      </c>
      <c r="C42" s="40">
        <v>1000</v>
      </c>
      <c r="D42" s="39">
        <v>515</v>
      </c>
      <c r="E42" s="8">
        <v>6.057516396061622</v>
      </c>
      <c r="F42" s="10">
        <v>36.04884488448845</v>
      </c>
    </row>
    <row r="43" spans="1:6" ht="12.75">
      <c r="A43" s="4" t="s">
        <v>38</v>
      </c>
      <c r="B43" s="4" t="s">
        <v>17</v>
      </c>
      <c r="C43" s="40">
        <v>1120</v>
      </c>
      <c r="D43" s="39">
        <v>390</v>
      </c>
      <c r="E43" s="8">
        <v>4.95</v>
      </c>
      <c r="F43" s="10">
        <v>135.67</v>
      </c>
    </row>
    <row r="44" spans="1:6" ht="12.75">
      <c r="A44" s="4" t="s">
        <v>38</v>
      </c>
      <c r="B44" s="4" t="s">
        <v>23</v>
      </c>
      <c r="C44" s="40">
        <v>1035</v>
      </c>
      <c r="D44" s="39">
        <v>273</v>
      </c>
      <c r="E44" s="8">
        <v>0.92</v>
      </c>
      <c r="F44" s="10">
        <v>52.9</v>
      </c>
    </row>
    <row r="45" spans="1:6" ht="12.75">
      <c r="A45" s="4" t="s">
        <v>39</v>
      </c>
      <c r="B45" s="4" t="s">
        <v>4</v>
      </c>
      <c r="C45" s="40">
        <v>719</v>
      </c>
      <c r="D45" s="39">
        <v>308</v>
      </c>
      <c r="E45" s="8">
        <v>4.191327869155977</v>
      </c>
      <c r="F45" s="10">
        <v>13.377161716171617</v>
      </c>
    </row>
    <row r="46" spans="1:6" ht="12.75">
      <c r="A46" s="4" t="s">
        <v>40</v>
      </c>
      <c r="B46" s="4" t="s">
        <v>17</v>
      </c>
      <c r="C46" s="40">
        <v>1036</v>
      </c>
      <c r="D46" s="39">
        <v>276</v>
      </c>
      <c r="E46" s="8">
        <v>5.68</v>
      </c>
      <c r="F46" s="10">
        <v>68.87</v>
      </c>
    </row>
    <row r="47" spans="1:6" ht="12.75">
      <c r="A47" s="4" t="s">
        <v>41</v>
      </c>
      <c r="B47" s="4" t="s">
        <v>23</v>
      </c>
      <c r="C47" s="40">
        <v>300</v>
      </c>
      <c r="D47" s="39">
        <v>0.9</v>
      </c>
      <c r="E47" s="8">
        <v>0</v>
      </c>
      <c r="F47" s="10">
        <v>0</v>
      </c>
    </row>
    <row r="48" spans="1:6" ht="12.75">
      <c r="A48" s="4" t="s">
        <v>42</v>
      </c>
      <c r="B48" s="4" t="s">
        <v>4</v>
      </c>
      <c r="C48" s="40">
        <v>185</v>
      </c>
      <c r="D48" s="39">
        <v>80</v>
      </c>
      <c r="E48" s="8">
        <v>1.0698236687799174</v>
      </c>
      <c r="F48" s="10">
        <v>3.4745874587458747</v>
      </c>
    </row>
    <row r="49" spans="1:6" ht="12.75">
      <c r="A49" s="4" t="s">
        <v>42</v>
      </c>
      <c r="B49" s="4" t="s">
        <v>17</v>
      </c>
      <c r="C49" s="40">
        <v>230</v>
      </c>
      <c r="D49" s="39">
        <v>80</v>
      </c>
      <c r="E49" s="8">
        <v>0.88</v>
      </c>
      <c r="F49" s="10">
        <v>18.83</v>
      </c>
    </row>
    <row r="50" spans="1:6" ht="12.75">
      <c r="A50" s="4" t="s">
        <v>42</v>
      </c>
      <c r="B50" s="4" t="s">
        <v>23</v>
      </c>
      <c r="C50" s="40">
        <v>265</v>
      </c>
      <c r="D50" s="39">
        <v>65</v>
      </c>
      <c r="E50" s="8">
        <v>0</v>
      </c>
      <c r="F50" s="10">
        <v>52.9</v>
      </c>
    </row>
    <row r="51" spans="1:6" ht="12.75">
      <c r="A51" s="4" t="s">
        <v>43</v>
      </c>
      <c r="B51" s="4" t="s">
        <v>4</v>
      </c>
      <c r="C51" s="38">
        <v>200</v>
      </c>
      <c r="D51" s="39">
        <v>40</v>
      </c>
      <c r="E51" s="8">
        <v>1.6896488740905757</v>
      </c>
      <c r="F51" s="10">
        <v>1.7372937293729374</v>
      </c>
    </row>
    <row r="52" spans="1:6" ht="12.75">
      <c r="A52" s="4" t="s">
        <v>43</v>
      </c>
      <c r="B52" s="4" t="s">
        <v>17</v>
      </c>
      <c r="C52" s="40">
        <v>200</v>
      </c>
      <c r="D52" s="39">
        <v>35</v>
      </c>
      <c r="E52" s="8">
        <v>1.47</v>
      </c>
      <c r="F52" s="10">
        <v>8.72</v>
      </c>
    </row>
    <row r="53" spans="1:6" ht="12.75">
      <c r="A53" s="4" t="s">
        <v>44</v>
      </c>
      <c r="B53" s="4" t="s">
        <v>19</v>
      </c>
      <c r="C53" s="40">
        <v>154</v>
      </c>
      <c r="D53" s="39">
        <v>18</v>
      </c>
      <c r="E53" s="8">
        <v>2.61</v>
      </c>
      <c r="F53" s="10">
        <v>5.2</v>
      </c>
    </row>
    <row r="54" spans="1:6" ht="12.75">
      <c r="A54" s="4" t="s">
        <v>44</v>
      </c>
      <c r="B54" s="4" t="s">
        <v>4</v>
      </c>
      <c r="C54" s="40">
        <v>3024</v>
      </c>
      <c r="D54" s="39">
        <v>378</v>
      </c>
      <c r="E54" s="8">
        <v>28.148314911509427</v>
      </c>
      <c r="F54" s="10">
        <v>16.417425742574256</v>
      </c>
    </row>
    <row r="55" spans="1:6" ht="12.75">
      <c r="A55" s="4" t="s">
        <v>44</v>
      </c>
      <c r="B55" s="4" t="s">
        <v>17</v>
      </c>
      <c r="C55" s="40">
        <v>851</v>
      </c>
      <c r="D55" s="39">
        <v>106</v>
      </c>
      <c r="E55" s="8">
        <v>7.1</v>
      </c>
      <c r="F55" s="10">
        <v>26.44</v>
      </c>
    </row>
    <row r="56" spans="1:6" ht="12.75">
      <c r="A56" s="4" t="s">
        <v>44</v>
      </c>
      <c r="B56" s="4" t="s">
        <v>23</v>
      </c>
      <c r="C56" s="40">
        <v>796</v>
      </c>
      <c r="D56" s="39">
        <v>100</v>
      </c>
      <c r="E56" s="8">
        <v>0.54</v>
      </c>
      <c r="F56" s="10">
        <v>0</v>
      </c>
    </row>
    <row r="57" spans="1:6" ht="12.75">
      <c r="A57" s="4" t="s">
        <v>45</v>
      </c>
      <c r="B57" s="4" t="s">
        <v>19</v>
      </c>
      <c r="C57" s="40">
        <v>560</v>
      </c>
      <c r="D57" s="39">
        <v>70</v>
      </c>
      <c r="E57" s="8">
        <v>14</v>
      </c>
      <c r="F57" s="10">
        <v>25.1</v>
      </c>
    </row>
    <row r="58" spans="1:6" ht="12.75">
      <c r="A58" s="4" t="s">
        <v>45</v>
      </c>
      <c r="B58" s="4" t="s">
        <v>17</v>
      </c>
      <c r="C58" s="40">
        <v>240</v>
      </c>
      <c r="D58" s="39">
        <v>30</v>
      </c>
      <c r="E58" s="8">
        <v>4.38</v>
      </c>
      <c r="F58" s="10">
        <v>7.48</v>
      </c>
    </row>
    <row r="59" spans="1:6" ht="12.75">
      <c r="A59" s="4" t="s">
        <v>46</v>
      </c>
      <c r="B59" s="4" t="s">
        <v>4</v>
      </c>
      <c r="C59" s="38">
        <v>1090</v>
      </c>
      <c r="D59" s="39">
        <v>480</v>
      </c>
      <c r="E59" s="8">
        <v>6.204107214595669</v>
      </c>
      <c r="F59" s="10">
        <v>20.847524752475245</v>
      </c>
    </row>
    <row r="60" spans="1:6" ht="12.75">
      <c r="A60" s="4" t="s">
        <v>47</v>
      </c>
      <c r="B60" s="4" t="s">
        <v>4</v>
      </c>
      <c r="C60" s="38">
        <v>1700</v>
      </c>
      <c r="D60" s="39">
        <v>540</v>
      </c>
      <c r="E60" s="8">
        <v>12.068519896030988</v>
      </c>
      <c r="F60" s="10">
        <v>23.453465346534653</v>
      </c>
    </row>
    <row r="61" spans="1:6" ht="12.75">
      <c r="A61" s="4" t="s">
        <v>48</v>
      </c>
      <c r="B61" s="4" t="s">
        <v>4</v>
      </c>
      <c r="C61" s="38">
        <v>1100</v>
      </c>
      <c r="D61" s="39">
        <v>465</v>
      </c>
      <c r="E61" s="8">
        <v>6.483536778668004</v>
      </c>
      <c r="F61" s="10">
        <v>20.196039603960397</v>
      </c>
    </row>
    <row r="62" spans="1:6" ht="12.75">
      <c r="A62" s="4" t="s">
        <v>49</v>
      </c>
      <c r="B62" s="4" t="s">
        <v>17</v>
      </c>
      <c r="C62" s="38">
        <v>1000</v>
      </c>
      <c r="D62" s="39">
        <v>200</v>
      </c>
      <c r="E62" s="8">
        <v>6.82</v>
      </c>
      <c r="F62" s="10">
        <v>49.9</v>
      </c>
    </row>
    <row r="63" spans="1:6" ht="12.75">
      <c r="A63" s="4" t="s">
        <v>50</v>
      </c>
      <c r="B63" s="4" t="s">
        <v>17</v>
      </c>
      <c r="C63" s="38">
        <v>1000</v>
      </c>
      <c r="D63" s="39">
        <v>200</v>
      </c>
      <c r="E63" s="8">
        <v>6.82</v>
      </c>
      <c r="F63" s="10">
        <v>49.9</v>
      </c>
    </row>
    <row r="64" spans="1:6" ht="12.75">
      <c r="A64" s="4" t="s">
        <v>51</v>
      </c>
      <c r="B64" s="4" t="s">
        <v>17</v>
      </c>
      <c r="C64" s="38">
        <v>1000</v>
      </c>
      <c r="D64" s="39">
        <v>200</v>
      </c>
      <c r="E64" s="8">
        <v>6.82</v>
      </c>
      <c r="F64" s="10">
        <v>49.9</v>
      </c>
    </row>
    <row r="65" spans="1:6" ht="12.75">
      <c r="A65" s="4" t="s">
        <v>52</v>
      </c>
      <c r="B65" s="4" t="s">
        <v>17</v>
      </c>
      <c r="C65" s="38">
        <v>1000</v>
      </c>
      <c r="D65" s="39">
        <v>200</v>
      </c>
      <c r="E65" s="8">
        <v>6.82</v>
      </c>
      <c r="F65" s="10">
        <v>49.9</v>
      </c>
    </row>
    <row r="66" spans="1:6" ht="12.75">
      <c r="A66" s="4" t="s">
        <v>53</v>
      </c>
      <c r="B66" s="4" t="s">
        <v>17</v>
      </c>
      <c r="C66" s="38">
        <v>1000</v>
      </c>
      <c r="D66" s="39">
        <v>200</v>
      </c>
      <c r="E66" s="8">
        <v>6.82</v>
      </c>
      <c r="F66" s="10">
        <v>49.9</v>
      </c>
    </row>
    <row r="67" spans="1:6" ht="12.75">
      <c r="A67" s="4" t="s">
        <v>54</v>
      </c>
      <c r="B67" s="4" t="s">
        <v>17</v>
      </c>
      <c r="C67" s="38">
        <v>1000</v>
      </c>
      <c r="D67" s="39">
        <v>200</v>
      </c>
      <c r="E67" s="8">
        <v>6.82</v>
      </c>
      <c r="F67" s="10">
        <v>49.9</v>
      </c>
    </row>
    <row r="68" spans="1:6" ht="12.75">
      <c r="A68" s="4" t="s">
        <v>55</v>
      </c>
      <c r="B68" s="4" t="s">
        <v>17</v>
      </c>
      <c r="C68" s="38">
        <v>1000</v>
      </c>
      <c r="D68" s="39">
        <v>200</v>
      </c>
      <c r="E68" s="8">
        <v>6.82</v>
      </c>
      <c r="F68" s="10">
        <v>49.9</v>
      </c>
    </row>
    <row r="69" spans="1:6" ht="12.75">
      <c r="A69" s="70"/>
      <c r="B69" s="66"/>
      <c r="C69" s="67"/>
      <c r="D69" s="71"/>
      <c r="E69" s="13"/>
      <c r="F69" s="60"/>
    </row>
    <row r="70" spans="1:6" ht="12.75">
      <c r="A70" s="4" t="s">
        <v>56</v>
      </c>
      <c r="B70" s="4" t="s">
        <v>4</v>
      </c>
      <c r="C70" s="40"/>
      <c r="D70" s="41"/>
      <c r="E70" s="8">
        <v>0</v>
      </c>
      <c r="F70" s="10">
        <v>0</v>
      </c>
    </row>
    <row r="71" spans="1:6" ht="12.75">
      <c r="A71" s="4" t="s">
        <v>57</v>
      </c>
      <c r="B71" s="4" t="s">
        <v>17</v>
      </c>
      <c r="C71" s="49">
        <v>1050</v>
      </c>
      <c r="D71" s="50">
        <v>270</v>
      </c>
      <c r="E71" s="8">
        <v>5.95</v>
      </c>
      <c r="F71" s="10">
        <v>67.37</v>
      </c>
    </row>
    <row r="72" spans="1:6" ht="12.75">
      <c r="A72" s="4" t="s">
        <v>58</v>
      </c>
      <c r="B72" s="4" t="s">
        <v>4</v>
      </c>
      <c r="C72" s="40"/>
      <c r="D72" s="41"/>
      <c r="E72" s="8">
        <v>0</v>
      </c>
      <c r="F72" s="10">
        <v>0</v>
      </c>
    </row>
    <row r="73" spans="1:6" ht="12.75">
      <c r="A73" s="4" t="s">
        <v>58</v>
      </c>
      <c r="B73" s="4" t="s">
        <v>17</v>
      </c>
      <c r="C73" s="40">
        <v>500</v>
      </c>
      <c r="D73" s="41">
        <v>27</v>
      </c>
      <c r="E73" s="8">
        <v>4.89</v>
      </c>
      <c r="F73" s="10">
        <v>6.73</v>
      </c>
    </row>
    <row r="74" spans="1:6" ht="12.75">
      <c r="A74" s="4" t="s">
        <v>58</v>
      </c>
      <c r="B74" s="4" t="s">
        <v>23</v>
      </c>
      <c r="C74" s="40"/>
      <c r="D74" s="41"/>
      <c r="E74" s="8">
        <v>0</v>
      </c>
      <c r="F74" s="10">
        <v>0</v>
      </c>
    </row>
    <row r="75" spans="1:6" ht="12.75">
      <c r="A75" s="4" t="s">
        <v>59</v>
      </c>
      <c r="B75" s="4" t="s">
        <v>4</v>
      </c>
      <c r="C75" s="40"/>
      <c r="D75" s="41"/>
      <c r="E75" s="8">
        <v>0</v>
      </c>
      <c r="F75" s="10">
        <v>0</v>
      </c>
    </row>
    <row r="76" spans="1:6" ht="12.75">
      <c r="A76" s="4" t="s">
        <v>60</v>
      </c>
      <c r="B76" s="4" t="s">
        <v>4</v>
      </c>
      <c r="C76" s="40"/>
      <c r="D76" s="41"/>
      <c r="E76" s="8">
        <v>0</v>
      </c>
      <c r="F76" s="10">
        <v>0</v>
      </c>
    </row>
    <row r="77" spans="1:6" ht="12.75">
      <c r="A77" s="4" t="s">
        <v>61</v>
      </c>
      <c r="B77" s="4" t="s">
        <v>19</v>
      </c>
      <c r="C77" s="40"/>
      <c r="D77" s="41"/>
      <c r="E77" s="8">
        <v>0</v>
      </c>
      <c r="F77" s="10">
        <v>0</v>
      </c>
    </row>
    <row r="78" spans="1:6" ht="12.75">
      <c r="A78" s="4" t="s">
        <v>61</v>
      </c>
      <c r="B78" s="4" t="s">
        <v>17</v>
      </c>
      <c r="C78" s="40">
        <v>200</v>
      </c>
      <c r="D78" s="41">
        <v>100</v>
      </c>
      <c r="E78" s="8">
        <v>3.94</v>
      </c>
      <c r="F78" s="10">
        <v>4.99</v>
      </c>
    </row>
    <row r="79" spans="1:6" ht="12.75">
      <c r="A79" s="4" t="s">
        <v>62</v>
      </c>
      <c r="B79" s="4" t="s">
        <v>4</v>
      </c>
      <c r="C79" s="40"/>
      <c r="D79" s="41"/>
      <c r="E79" s="8">
        <v>0</v>
      </c>
      <c r="F79" s="10">
        <v>0</v>
      </c>
    </row>
    <row r="80" spans="1:6" ht="12.75">
      <c r="A80" s="4" t="s">
        <v>63</v>
      </c>
      <c r="B80" s="4" t="s">
        <v>4</v>
      </c>
      <c r="C80" s="40"/>
      <c r="D80" s="41"/>
      <c r="E80" s="8">
        <v>0</v>
      </c>
      <c r="F80" s="10">
        <v>0</v>
      </c>
    </row>
    <row r="81" spans="1:6" ht="12.75">
      <c r="A81" s="70"/>
      <c r="B81" s="66"/>
      <c r="C81" s="67"/>
      <c r="D81" s="71"/>
      <c r="E81" s="13"/>
      <c r="F81" s="60"/>
    </row>
    <row r="82" spans="1:6" ht="12.75">
      <c r="A82" s="4" t="s">
        <v>64</v>
      </c>
      <c r="B82" s="4" t="s">
        <v>19</v>
      </c>
      <c r="C82" s="40">
        <v>600</v>
      </c>
      <c r="D82" s="41">
        <v>2</v>
      </c>
      <c r="E82" s="8">
        <v>14.1</v>
      </c>
      <c r="F82" s="10">
        <v>27</v>
      </c>
    </row>
    <row r="83" spans="1:6" ht="12.75">
      <c r="A83" s="4" t="s">
        <v>65</v>
      </c>
      <c r="B83" s="4" t="s">
        <v>19</v>
      </c>
      <c r="C83" s="40">
        <v>20</v>
      </c>
      <c r="D83" s="41">
        <v>1.6</v>
      </c>
      <c r="E83" s="8">
        <v>0.501</v>
      </c>
      <c r="F83" s="10">
        <v>0.9</v>
      </c>
    </row>
    <row r="84" spans="1:6" ht="12.75">
      <c r="A84" s="4" t="s">
        <v>74</v>
      </c>
      <c r="B84" s="4" t="s">
        <v>19</v>
      </c>
      <c r="C84" s="40"/>
      <c r="D84" s="41"/>
      <c r="E84" s="8">
        <v>0</v>
      </c>
      <c r="F84" s="10">
        <v>0</v>
      </c>
    </row>
    <row r="85" spans="1:6" ht="12.75">
      <c r="A85" s="4" t="s">
        <v>75</v>
      </c>
      <c r="B85" s="4" t="s">
        <v>19</v>
      </c>
      <c r="C85" s="40"/>
      <c r="D85" s="41"/>
      <c r="E85" s="8">
        <v>0</v>
      </c>
      <c r="F85" s="10">
        <v>0</v>
      </c>
    </row>
    <row r="86" spans="1:6" ht="12.75">
      <c r="A86" s="4" t="s">
        <v>76</v>
      </c>
      <c r="B86" s="4" t="s">
        <v>19</v>
      </c>
      <c r="C86" s="40">
        <v>80</v>
      </c>
      <c r="D86" s="41">
        <v>17</v>
      </c>
      <c r="E86" s="8">
        <v>2.01</v>
      </c>
      <c r="F86" s="10">
        <v>3.6</v>
      </c>
    </row>
    <row r="87" spans="1:6" ht="12.75">
      <c r="A87" s="4" t="s">
        <v>77</v>
      </c>
      <c r="B87" s="4" t="s">
        <v>19</v>
      </c>
      <c r="C87" s="40">
        <v>150</v>
      </c>
      <c r="D87" s="41">
        <v>60</v>
      </c>
      <c r="E87" s="8">
        <v>3.76</v>
      </c>
      <c r="F87" s="10">
        <v>6.75</v>
      </c>
    </row>
    <row r="88" spans="1:6" ht="12.75">
      <c r="A88" s="4" t="s">
        <v>78</v>
      </c>
      <c r="B88" s="4" t="s">
        <v>19</v>
      </c>
      <c r="C88" s="40">
        <v>96</v>
      </c>
      <c r="D88" s="41">
        <v>13</v>
      </c>
      <c r="E88" s="8">
        <v>2.41</v>
      </c>
      <c r="F88" s="10">
        <v>4.33</v>
      </c>
    </row>
    <row r="89" spans="1:6" ht="12.75">
      <c r="A89" s="4" t="s">
        <v>79</v>
      </c>
      <c r="B89" s="4" t="s">
        <v>19</v>
      </c>
      <c r="C89" s="40">
        <v>132</v>
      </c>
      <c r="D89" s="41">
        <v>10</v>
      </c>
      <c r="E89" s="8">
        <v>3.39</v>
      </c>
      <c r="F89" s="10">
        <v>5.94</v>
      </c>
    </row>
    <row r="90" spans="1:6" ht="12.75">
      <c r="A90" s="56" t="s">
        <v>82</v>
      </c>
      <c r="B90" s="56" t="s">
        <v>19</v>
      </c>
      <c r="C90" s="57">
        <v>1700</v>
      </c>
      <c r="D90" s="57">
        <v>813</v>
      </c>
      <c r="E90" s="8">
        <v>42.6</v>
      </c>
      <c r="F90" s="10">
        <v>76.5</v>
      </c>
    </row>
    <row r="91" spans="1:6" ht="12.75">
      <c r="A91" s="18" t="s">
        <v>84</v>
      </c>
      <c r="B91" s="18" t="s">
        <v>17</v>
      </c>
      <c r="C91" s="44">
        <v>200</v>
      </c>
      <c r="D91" s="45">
        <v>100</v>
      </c>
      <c r="E91" s="15">
        <v>0.15</v>
      </c>
      <c r="F91" s="17">
        <v>17.6</v>
      </c>
    </row>
    <row r="92" spans="1:6" ht="12.75">
      <c r="A92" s="4" t="s">
        <v>108</v>
      </c>
      <c r="B92" s="4" t="s">
        <v>19</v>
      </c>
      <c r="C92" s="40"/>
      <c r="D92" s="93"/>
      <c r="E92" s="46"/>
      <c r="F92" s="48"/>
    </row>
    <row r="93" spans="1:6" ht="13.5" thickBot="1">
      <c r="A93" s="61" t="s">
        <v>109</v>
      </c>
      <c r="B93" s="61" t="s">
        <v>19</v>
      </c>
      <c r="C93" s="62"/>
      <c r="D93" s="95"/>
      <c r="E93" s="83"/>
      <c r="F93" s="84"/>
    </row>
  </sheetData>
  <mergeCells count="2">
    <mergeCell ref="C1:D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workbookViewId="0" topLeftCell="A1">
      <selection activeCell="J34" sqref="J34"/>
    </sheetView>
  </sheetViews>
  <sheetFormatPr defaultColWidth="9.140625" defaultRowHeight="12.75"/>
  <cols>
    <col min="2" max="2" width="11.421875" style="0" bestFit="1" customWidth="1"/>
    <col min="3" max="3" width="12.57421875" style="0" bestFit="1" customWidth="1"/>
    <col min="8" max="8" width="11.421875" style="0" bestFit="1" customWidth="1"/>
  </cols>
  <sheetData>
    <row r="2" ht="20.25">
      <c r="B2" s="106" t="s">
        <v>118</v>
      </c>
    </row>
    <row r="3" spans="2:9" ht="20.25">
      <c r="B3" s="106"/>
      <c r="C3" s="108" t="s">
        <v>116</v>
      </c>
      <c r="H3" s="106"/>
      <c r="I3" s="108" t="s">
        <v>122</v>
      </c>
    </row>
    <row r="5" spans="3:11" ht="12.75">
      <c r="C5" s="101" t="s">
        <v>115</v>
      </c>
      <c r="E5" s="107" t="s">
        <v>66</v>
      </c>
      <c r="I5" s="101" t="s">
        <v>115</v>
      </c>
      <c r="K5" s="107" t="s">
        <v>66</v>
      </c>
    </row>
    <row r="6" spans="2:12" ht="12.75">
      <c r="B6" s="91" t="s">
        <v>98</v>
      </c>
      <c r="C6" s="91" t="s">
        <v>69</v>
      </c>
      <c r="D6" s="91" t="s">
        <v>99</v>
      </c>
      <c r="E6" s="91" t="s">
        <v>69</v>
      </c>
      <c r="F6" s="91" t="s">
        <v>99</v>
      </c>
      <c r="G6" s="101"/>
      <c r="H6" s="91" t="s">
        <v>98</v>
      </c>
      <c r="I6" s="91" t="s">
        <v>69</v>
      </c>
      <c r="J6" s="91" t="s">
        <v>99</v>
      </c>
      <c r="K6" s="91" t="s">
        <v>69</v>
      </c>
      <c r="L6" s="91" t="s">
        <v>99</v>
      </c>
    </row>
    <row r="7" spans="2:12" ht="12.75">
      <c r="B7" s="47" t="s">
        <v>101</v>
      </c>
      <c r="C7" s="102">
        <f>5487.55714285714+1364</f>
        <v>6851.55714285714</v>
      </c>
      <c r="D7" s="102">
        <f>5384.820174+873</f>
        <v>6257.820174</v>
      </c>
      <c r="E7" s="47">
        <v>2144</v>
      </c>
      <c r="F7" s="47">
        <v>1364</v>
      </c>
      <c r="H7" s="47" t="s">
        <v>101</v>
      </c>
      <c r="I7" s="102">
        <v>3528</v>
      </c>
      <c r="J7" s="102">
        <v>3921</v>
      </c>
      <c r="K7" s="47">
        <v>1160</v>
      </c>
      <c r="L7" s="47">
        <v>890</v>
      </c>
    </row>
    <row r="8" spans="2:12" ht="12.75">
      <c r="B8" s="47" t="s">
        <v>110</v>
      </c>
      <c r="C8" s="102">
        <f>2728+800</f>
        <v>3528</v>
      </c>
      <c r="D8" s="102">
        <f>3121+800</f>
        <v>3921</v>
      </c>
      <c r="E8" s="47">
        <v>1160</v>
      </c>
      <c r="F8" s="47">
        <v>890</v>
      </c>
      <c r="H8" s="47" t="s">
        <v>110</v>
      </c>
      <c r="I8" s="102">
        <f>2728+800</f>
        <v>3528</v>
      </c>
      <c r="J8" s="102">
        <f>3121+800</f>
        <v>3921</v>
      </c>
      <c r="K8" s="47">
        <v>1160</v>
      </c>
      <c r="L8" s="47">
        <v>890</v>
      </c>
    </row>
    <row r="9" spans="2:12" ht="12.75">
      <c r="B9" s="47" t="s">
        <v>100</v>
      </c>
      <c r="C9" s="102">
        <v>7400</v>
      </c>
      <c r="D9" s="102">
        <v>6900</v>
      </c>
      <c r="E9" s="47">
        <v>1500</v>
      </c>
      <c r="F9" s="47">
        <v>1200</v>
      </c>
      <c r="H9" s="47" t="s">
        <v>100</v>
      </c>
      <c r="I9" s="102">
        <v>7400</v>
      </c>
      <c r="J9" s="102">
        <v>6900</v>
      </c>
      <c r="K9" s="47">
        <v>1500</v>
      </c>
      <c r="L9" s="47">
        <v>1200</v>
      </c>
    </row>
    <row r="10" spans="2:12" ht="12.75">
      <c r="B10" s="47" t="s">
        <v>102</v>
      </c>
      <c r="C10" s="102">
        <v>13728.097048918953</v>
      </c>
      <c r="D10" s="102">
        <v>8718.951146634161</v>
      </c>
      <c r="E10" s="47">
        <v>1694</v>
      </c>
      <c r="F10" s="47">
        <v>535</v>
      </c>
      <c r="H10" s="47" t="s">
        <v>102</v>
      </c>
      <c r="I10" s="102">
        <v>13728.097048918953</v>
      </c>
      <c r="J10" s="102">
        <v>8718.951146634161</v>
      </c>
      <c r="K10" s="47">
        <v>1694</v>
      </c>
      <c r="L10" s="47">
        <v>535</v>
      </c>
    </row>
    <row r="11" spans="2:12" ht="12.75">
      <c r="B11" s="47" t="s">
        <v>111</v>
      </c>
      <c r="C11" s="102">
        <v>12545</v>
      </c>
      <c r="D11" s="102">
        <v>9081</v>
      </c>
      <c r="E11" s="47">
        <v>1480</v>
      </c>
      <c r="F11" s="47">
        <v>400</v>
      </c>
      <c r="H11" s="47" t="s">
        <v>111</v>
      </c>
      <c r="I11" s="102">
        <v>12545</v>
      </c>
      <c r="J11" s="102">
        <v>9081</v>
      </c>
      <c r="K11" s="47">
        <v>1480</v>
      </c>
      <c r="L11" s="47">
        <v>400</v>
      </c>
    </row>
    <row r="12" spans="2:12" ht="12.75">
      <c r="B12" s="47" t="s">
        <v>103</v>
      </c>
      <c r="C12" s="102">
        <v>14400</v>
      </c>
      <c r="D12" s="102">
        <v>9000</v>
      </c>
      <c r="E12" s="47">
        <v>1850</v>
      </c>
      <c r="F12" s="47">
        <v>520</v>
      </c>
      <c r="H12" s="47" t="s">
        <v>103</v>
      </c>
      <c r="I12" s="102">
        <v>14400</v>
      </c>
      <c r="J12" s="102">
        <v>9000</v>
      </c>
      <c r="K12" s="47">
        <v>1850</v>
      </c>
      <c r="L12" s="47">
        <v>520</v>
      </c>
    </row>
    <row r="13" spans="2:12" ht="12.75">
      <c r="B13" s="47" t="s">
        <v>104</v>
      </c>
      <c r="C13" s="102">
        <v>5464.471428571429</v>
      </c>
      <c r="D13" s="102">
        <v>10713.3</v>
      </c>
      <c r="E13" s="47">
        <v>1500</v>
      </c>
      <c r="F13" s="47">
        <v>1900</v>
      </c>
      <c r="H13" s="47" t="s">
        <v>104</v>
      </c>
      <c r="I13" s="102">
        <v>5464.471428571429</v>
      </c>
      <c r="J13" s="102">
        <v>10713.3</v>
      </c>
      <c r="K13" s="47">
        <v>1500</v>
      </c>
      <c r="L13" s="47">
        <v>1900</v>
      </c>
    </row>
    <row r="14" spans="2:12" ht="12.75">
      <c r="B14" s="47" t="s">
        <v>112</v>
      </c>
      <c r="C14" s="102">
        <v>5543</v>
      </c>
      <c r="D14" s="102">
        <v>9605</v>
      </c>
      <c r="E14" s="47">
        <v>1200</v>
      </c>
      <c r="F14" s="47">
        <v>1460</v>
      </c>
      <c r="H14" s="47" t="s">
        <v>112</v>
      </c>
      <c r="I14" s="102">
        <v>5543</v>
      </c>
      <c r="J14" s="102">
        <v>9605</v>
      </c>
      <c r="K14" s="47">
        <v>1200</v>
      </c>
      <c r="L14" s="47">
        <v>1460</v>
      </c>
    </row>
    <row r="15" spans="2:12" ht="12.75">
      <c r="B15" s="47" t="s">
        <v>105</v>
      </c>
      <c r="C15" s="102">
        <v>7000</v>
      </c>
      <c r="D15" s="102">
        <v>16700</v>
      </c>
      <c r="E15" s="47">
        <v>1500</v>
      </c>
      <c r="F15" s="47">
        <v>1900</v>
      </c>
      <c r="H15" s="47" t="s">
        <v>105</v>
      </c>
      <c r="I15" s="102">
        <v>7000</v>
      </c>
      <c r="J15" s="102">
        <v>16700</v>
      </c>
      <c r="K15" s="47">
        <v>1500</v>
      </c>
      <c r="L15" s="47">
        <v>1900</v>
      </c>
    </row>
    <row r="16" spans="2:12" ht="12.75">
      <c r="B16" s="47" t="s">
        <v>106</v>
      </c>
      <c r="C16" s="102">
        <v>2031.2857142857142</v>
      </c>
      <c r="D16" s="102">
        <v>1985.9</v>
      </c>
      <c r="E16" s="47">
        <v>492</v>
      </c>
      <c r="F16" s="47">
        <v>632</v>
      </c>
      <c r="H16" s="47" t="s">
        <v>106</v>
      </c>
      <c r="I16" s="102">
        <v>2031.2857142857142</v>
      </c>
      <c r="J16" s="102">
        <v>1985.9</v>
      </c>
      <c r="K16" s="47">
        <v>492</v>
      </c>
      <c r="L16" s="47">
        <v>632</v>
      </c>
    </row>
    <row r="17" spans="2:12" ht="12.75">
      <c r="B17" s="47" t="s">
        <v>113</v>
      </c>
      <c r="C17" s="102">
        <v>2155</v>
      </c>
      <c r="D17" s="102">
        <v>1918</v>
      </c>
      <c r="E17" s="47">
        <v>360</v>
      </c>
      <c r="F17" s="47">
        <v>660</v>
      </c>
      <c r="H17" s="47" t="s">
        <v>113</v>
      </c>
      <c r="I17" s="102">
        <v>2155</v>
      </c>
      <c r="J17" s="102">
        <v>1918</v>
      </c>
      <c r="K17" s="47">
        <v>360</v>
      </c>
      <c r="L17" s="47">
        <v>660</v>
      </c>
    </row>
    <row r="18" spans="2:12" ht="12.75">
      <c r="B18" s="47" t="s">
        <v>107</v>
      </c>
      <c r="C18" s="102">
        <v>2400</v>
      </c>
      <c r="D18" s="102">
        <v>2100</v>
      </c>
      <c r="E18" s="47">
        <v>450</v>
      </c>
      <c r="F18" s="47">
        <v>860</v>
      </c>
      <c r="H18" s="47" t="s">
        <v>107</v>
      </c>
      <c r="I18" s="102">
        <v>2400</v>
      </c>
      <c r="J18" s="102">
        <v>2100</v>
      </c>
      <c r="K18" s="47">
        <v>450</v>
      </c>
      <c r="L18" s="47">
        <v>860</v>
      </c>
    </row>
    <row r="19" spans="3:10" ht="12.75">
      <c r="C19" s="88"/>
      <c r="D19" s="88"/>
      <c r="I19" s="88"/>
      <c r="J19" s="88"/>
    </row>
    <row r="20" spans="2:12" ht="12.75">
      <c r="B20" s="101" t="s">
        <v>114</v>
      </c>
      <c r="C20" s="88">
        <f>C8-C7+C11-C10+C14-C13+C17-C16</f>
        <v>-4304.411334633236</v>
      </c>
      <c r="D20" s="88">
        <f>D8-D7+D11-D10+D14-D13+D17-D16</f>
        <v>-3150.9713206341607</v>
      </c>
      <c r="E20">
        <f>E8-E7+E11-E10+E14-E13+E17-E16</f>
        <v>-1630</v>
      </c>
      <c r="F20">
        <f>F8-F7+F11-F10+F14-F13+F17-F16</f>
        <v>-1021</v>
      </c>
      <c r="H20" s="101" t="s">
        <v>114</v>
      </c>
      <c r="I20" s="88">
        <f>I8-I7+I11-I10+I14-I13+I17-I16</f>
        <v>-980.8541917760963</v>
      </c>
      <c r="J20" s="88">
        <f>J8-J7+J11-J10+J14-J13+J17-J16</f>
        <v>-814.1511466341603</v>
      </c>
      <c r="K20">
        <f>K8-K7+K11-K10+K14-K13+K17-K16</f>
        <v>-646</v>
      </c>
      <c r="L20">
        <f>L8-L7+L11-L10+L14-L13+L17-L16</f>
        <v>-547</v>
      </c>
    </row>
    <row r="21" spans="2:4" ht="12.75">
      <c r="B21" s="101"/>
      <c r="C21" s="88"/>
      <c r="D21" s="88"/>
    </row>
    <row r="23" spans="2:3" ht="20.25">
      <c r="B23" s="106"/>
      <c r="C23" s="108" t="s">
        <v>123</v>
      </c>
    </row>
    <row r="25" spans="3:5" ht="12.75">
      <c r="C25" s="101" t="s">
        <v>115</v>
      </c>
      <c r="E25" s="107" t="s">
        <v>66</v>
      </c>
    </row>
    <row r="26" spans="2:6" ht="12.75">
      <c r="B26" s="91" t="s">
        <v>98</v>
      </c>
      <c r="C26" s="91" t="s">
        <v>69</v>
      </c>
      <c r="D26" s="91" t="s">
        <v>99</v>
      </c>
      <c r="E26" s="91" t="s">
        <v>69</v>
      </c>
      <c r="F26" s="91" t="s">
        <v>99</v>
      </c>
    </row>
    <row r="27" spans="2:8" ht="12.75">
      <c r="B27" s="47" t="s">
        <v>101</v>
      </c>
      <c r="C27" s="102">
        <v>3528</v>
      </c>
      <c r="D27" s="102">
        <v>3921</v>
      </c>
      <c r="E27" s="102">
        <v>1160</v>
      </c>
      <c r="F27" s="102">
        <v>890</v>
      </c>
      <c r="H27" t="s">
        <v>119</v>
      </c>
    </row>
    <row r="28" spans="2:8" ht="12.75">
      <c r="B28" s="47" t="s">
        <v>110</v>
      </c>
      <c r="C28" s="102">
        <f>(2728+800)*1.5</f>
        <v>5292</v>
      </c>
      <c r="D28" s="102">
        <f>(3121+800)*1.9</f>
        <v>7449.9</v>
      </c>
      <c r="E28" s="102">
        <f>1160*1.24</f>
        <v>1438.4</v>
      </c>
      <c r="F28" s="102">
        <f>890*1.7</f>
        <v>1513</v>
      </c>
      <c r="H28" t="s">
        <v>120</v>
      </c>
    </row>
    <row r="29" spans="2:8" ht="12.75">
      <c r="B29" s="47" t="s">
        <v>100</v>
      </c>
      <c r="C29" s="102">
        <v>7400</v>
      </c>
      <c r="D29" s="102">
        <v>6900</v>
      </c>
      <c r="E29" s="102">
        <v>1500</v>
      </c>
      <c r="F29" s="102">
        <v>1200</v>
      </c>
      <c r="H29" t="s">
        <v>121</v>
      </c>
    </row>
    <row r="30" spans="2:6" ht="12.75">
      <c r="B30" s="47" t="s">
        <v>102</v>
      </c>
      <c r="C30" s="102">
        <v>13728.097048918953</v>
      </c>
      <c r="D30" s="102">
        <v>8718.951146634161</v>
      </c>
      <c r="E30" s="102">
        <v>1694</v>
      </c>
      <c r="F30" s="102">
        <v>535</v>
      </c>
    </row>
    <row r="31" spans="2:8" ht="12.75">
      <c r="B31" s="47" t="s">
        <v>111</v>
      </c>
      <c r="C31" s="102">
        <f>12545*1.5</f>
        <v>18817.5</v>
      </c>
      <c r="D31" s="102">
        <f>9081*1.9</f>
        <v>17253.899999999998</v>
      </c>
      <c r="E31" s="102">
        <f>1480*1.24</f>
        <v>1835.2</v>
      </c>
      <c r="F31" s="102">
        <f>400*1.7</f>
        <v>680</v>
      </c>
      <c r="H31" t="s">
        <v>155</v>
      </c>
    </row>
    <row r="32" spans="2:6" ht="12.75">
      <c r="B32" s="47" t="s">
        <v>103</v>
      </c>
      <c r="C32" s="102">
        <v>14400</v>
      </c>
      <c r="D32" s="102">
        <v>9000</v>
      </c>
      <c r="E32" s="102">
        <v>1850</v>
      </c>
      <c r="F32" s="102">
        <v>520</v>
      </c>
    </row>
    <row r="33" spans="2:6" ht="12.75">
      <c r="B33" s="47" t="s">
        <v>104</v>
      </c>
      <c r="C33" s="102">
        <v>5464.471428571429</v>
      </c>
      <c r="D33" s="102">
        <v>10713.3</v>
      </c>
      <c r="E33" s="102">
        <v>1500</v>
      </c>
      <c r="F33" s="102">
        <v>1900</v>
      </c>
    </row>
    <row r="34" spans="2:6" ht="12.75">
      <c r="B34" s="47" t="s">
        <v>112</v>
      </c>
      <c r="C34" s="102">
        <f>5543*1.5</f>
        <v>8314.5</v>
      </c>
      <c r="D34" s="102">
        <f>9605*1.9</f>
        <v>18249.5</v>
      </c>
      <c r="E34" s="102">
        <f>1200*1.24</f>
        <v>1488</v>
      </c>
      <c r="F34" s="102">
        <f>1460*1.7</f>
        <v>2482</v>
      </c>
    </row>
    <row r="35" spans="2:6" ht="12.75">
      <c r="B35" s="47" t="s">
        <v>105</v>
      </c>
      <c r="C35" s="102">
        <v>7000</v>
      </c>
      <c r="D35" s="102">
        <v>16700</v>
      </c>
      <c r="E35" s="102">
        <v>1500</v>
      </c>
      <c r="F35" s="102">
        <v>1900</v>
      </c>
    </row>
    <row r="36" spans="2:6" ht="12.75">
      <c r="B36" s="47" t="s">
        <v>106</v>
      </c>
      <c r="C36" s="102">
        <v>2031.2857142857142</v>
      </c>
      <c r="D36" s="102">
        <v>1985.9</v>
      </c>
      <c r="E36" s="102">
        <v>492</v>
      </c>
      <c r="F36" s="102">
        <v>632</v>
      </c>
    </row>
    <row r="37" spans="2:6" ht="12.75">
      <c r="B37" s="47" t="s">
        <v>113</v>
      </c>
      <c r="C37" s="102">
        <f>2155*1.5</f>
        <v>3232.5</v>
      </c>
      <c r="D37" s="102">
        <f>1918*1.9</f>
        <v>3644.2</v>
      </c>
      <c r="E37" s="102">
        <f>360*1.24</f>
        <v>446.4</v>
      </c>
      <c r="F37" s="102">
        <f>660*1.7</f>
        <v>1122</v>
      </c>
    </row>
    <row r="38" spans="2:6" ht="12.75">
      <c r="B38" s="47" t="s">
        <v>107</v>
      </c>
      <c r="C38" s="102">
        <v>2400</v>
      </c>
      <c r="D38" s="102">
        <v>2100</v>
      </c>
      <c r="E38" s="102">
        <v>450</v>
      </c>
      <c r="F38" s="102">
        <v>860</v>
      </c>
    </row>
    <row r="39" spans="3:4" ht="12.75">
      <c r="C39" s="88"/>
      <c r="D39" s="88"/>
    </row>
    <row r="40" spans="2:6" ht="12.75">
      <c r="B40" s="101" t="s">
        <v>114</v>
      </c>
      <c r="C40" s="88">
        <f>C28-C27+C31-C30+C34-C33+C37-C36</f>
        <v>10904.645808223904</v>
      </c>
      <c r="D40" s="88">
        <f>D28-D27+D31-D30+D34-D33+D37-D36</f>
        <v>21258.348853365835</v>
      </c>
      <c r="E40">
        <f>E28-E27+E31-E30+E34-E33+E37-E36</f>
        <v>362.00000000000034</v>
      </c>
      <c r="F40">
        <f>F28-F27+F31-F30+F34-F33+F37-F36</f>
        <v>1840</v>
      </c>
    </row>
    <row r="42" spans="2:6" ht="12.75">
      <c r="B42" s="101" t="s">
        <v>117</v>
      </c>
      <c r="C42" s="88">
        <f>C28-C29+C31-C32+C34-C35+C37-C38</f>
        <v>4456.5</v>
      </c>
      <c r="D42" s="88">
        <f>D28-D29+D31-D32+D34-D35+D37-D38</f>
        <v>11897.499999999996</v>
      </c>
      <c r="E42" s="88">
        <f>E28-E29+E31-E32+E34-E35+E37-E38</f>
        <v>-91.99999999999989</v>
      </c>
      <c r="F42" s="88">
        <f>F28-F29+F31-F32+F34-F35+F37-F38</f>
        <v>1317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workbookViewId="0" topLeftCell="A1">
      <selection activeCell="N15" sqref="N15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5</v>
      </c>
      <c r="F1" s="148"/>
      <c r="G1" s="148"/>
      <c r="H1" s="149"/>
      <c r="I1" s="150"/>
    </row>
    <row r="2" spans="1:9" ht="12.75">
      <c r="A2" s="2" t="s">
        <v>0</v>
      </c>
      <c r="B2" s="2" t="s">
        <v>1</v>
      </c>
      <c r="C2" s="3" t="s">
        <v>67</v>
      </c>
      <c r="D2" s="5" t="s">
        <v>69</v>
      </c>
      <c r="E2" s="51" t="s">
        <v>80</v>
      </c>
      <c r="F2" s="3" t="s">
        <v>81</v>
      </c>
      <c r="G2" s="151" t="s">
        <v>93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123"/>
      <c r="B4" s="124"/>
      <c r="C4" s="74"/>
      <c r="D4" s="125"/>
      <c r="E4" s="129"/>
      <c r="F4" s="74"/>
      <c r="G4" s="74"/>
      <c r="H4" s="74"/>
      <c r="I4" s="125"/>
    </row>
    <row r="5" spans="1:9" ht="12.75">
      <c r="A5" s="131" t="s">
        <v>126</v>
      </c>
      <c r="B5" s="126"/>
      <c r="C5" s="127"/>
      <c r="D5" s="128"/>
      <c r="E5" s="130"/>
      <c r="F5" s="127"/>
      <c r="G5" s="127"/>
      <c r="H5" s="127"/>
      <c r="I5" s="128"/>
    </row>
    <row r="6" spans="1:9" ht="12.75">
      <c r="A6" s="4" t="s">
        <v>3</v>
      </c>
      <c r="B6" s="4" t="s">
        <v>4</v>
      </c>
      <c r="C6" s="38">
        <v>300</v>
      </c>
      <c r="D6" s="39">
        <v>300</v>
      </c>
      <c r="E6" s="8"/>
      <c r="F6" s="9">
        <v>11.877018110346764</v>
      </c>
      <c r="G6" s="9"/>
      <c r="H6" s="9"/>
      <c r="I6" s="10"/>
    </row>
    <row r="7" spans="1:9" ht="12.75">
      <c r="A7" s="4" t="s">
        <v>16</v>
      </c>
      <c r="B7" s="4" t="s">
        <v>4</v>
      </c>
      <c r="C7" s="40">
        <v>500</v>
      </c>
      <c r="D7" s="39">
        <v>200</v>
      </c>
      <c r="E7" s="8">
        <v>6.404340600884483</v>
      </c>
      <c r="F7" s="9"/>
      <c r="G7" s="9">
        <v>29.271638209412476</v>
      </c>
      <c r="H7" s="9">
        <v>17.367168018508114</v>
      </c>
      <c r="I7" s="10">
        <v>20.406850441189423</v>
      </c>
    </row>
    <row r="8" spans="1:9" ht="12.75">
      <c r="A8" s="4" t="s">
        <v>16</v>
      </c>
      <c r="B8" s="4" t="s">
        <v>17</v>
      </c>
      <c r="C8" s="40">
        <v>500</v>
      </c>
      <c r="D8" s="39">
        <v>200</v>
      </c>
      <c r="E8" s="8"/>
      <c r="F8" s="9">
        <v>2</v>
      </c>
      <c r="G8" s="9"/>
      <c r="H8" s="9"/>
      <c r="I8" s="10"/>
    </row>
    <row r="9" spans="1:9" ht="12.75">
      <c r="A9" s="4" t="s">
        <v>18</v>
      </c>
      <c r="B9" s="4" t="s">
        <v>19</v>
      </c>
      <c r="C9" s="40">
        <v>200</v>
      </c>
      <c r="D9" s="39">
        <v>75</v>
      </c>
      <c r="E9" s="13"/>
      <c r="F9" s="9"/>
      <c r="G9" s="9"/>
      <c r="H9" s="9"/>
      <c r="I9" s="10"/>
    </row>
    <row r="10" spans="1:9" ht="12.75">
      <c r="A10" s="4" t="s">
        <v>18</v>
      </c>
      <c r="B10" s="4" t="s">
        <v>4</v>
      </c>
      <c r="C10" s="40">
        <v>800</v>
      </c>
      <c r="D10" s="39">
        <v>405</v>
      </c>
      <c r="E10" s="8"/>
      <c r="F10" s="9"/>
      <c r="G10" s="9"/>
      <c r="H10" s="9"/>
      <c r="I10" s="10"/>
    </row>
    <row r="11" spans="1:9" ht="12.75">
      <c r="A11" s="4" t="s">
        <v>20</v>
      </c>
      <c r="B11" s="4" t="s">
        <v>17</v>
      </c>
      <c r="C11" s="38">
        <v>900</v>
      </c>
      <c r="D11" s="39">
        <v>200</v>
      </c>
      <c r="E11" s="8"/>
      <c r="F11" s="9">
        <v>2</v>
      </c>
      <c r="G11" s="9"/>
      <c r="H11" s="9"/>
      <c r="I11" s="10"/>
    </row>
    <row r="12" spans="1:9" ht="12.75">
      <c r="A12" s="4" t="s">
        <v>21</v>
      </c>
      <c r="B12" s="4" t="s">
        <v>19</v>
      </c>
      <c r="C12" s="40">
        <v>265</v>
      </c>
      <c r="D12" s="39">
        <v>46</v>
      </c>
      <c r="E12" s="8"/>
      <c r="F12" s="9"/>
      <c r="G12" s="9"/>
      <c r="H12" s="9"/>
      <c r="I12" s="10"/>
    </row>
    <row r="13" spans="1:9" ht="12.75">
      <c r="A13" s="4" t="s">
        <v>21</v>
      </c>
      <c r="B13" s="4" t="s">
        <v>4</v>
      </c>
      <c r="C13" s="40">
        <v>2595</v>
      </c>
      <c r="D13" s="39">
        <v>217</v>
      </c>
      <c r="E13" s="8"/>
      <c r="F13" s="9"/>
      <c r="G13" s="9"/>
      <c r="H13" s="9"/>
      <c r="I13" s="10"/>
    </row>
    <row r="14" spans="1:9" ht="12.75">
      <c r="A14" s="4" t="s">
        <v>21</v>
      </c>
      <c r="B14" s="4" t="s">
        <v>17</v>
      </c>
      <c r="C14" s="40">
        <v>738</v>
      </c>
      <c r="D14" s="39">
        <v>192</v>
      </c>
      <c r="E14" s="8"/>
      <c r="F14" s="9">
        <v>2</v>
      </c>
      <c r="G14" s="9"/>
      <c r="H14" s="9"/>
      <c r="I14" s="10"/>
    </row>
    <row r="15" spans="1:9" ht="12.75">
      <c r="A15" s="4" t="s">
        <v>22</v>
      </c>
      <c r="B15" s="4" t="s">
        <v>19</v>
      </c>
      <c r="C15" s="40">
        <v>192</v>
      </c>
      <c r="D15" s="39">
        <v>56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4</v>
      </c>
      <c r="C16" s="40">
        <v>1056</v>
      </c>
      <c r="D16" s="39">
        <v>308</v>
      </c>
      <c r="E16" s="8"/>
      <c r="F16" s="9"/>
      <c r="G16" s="9"/>
      <c r="H16" s="9"/>
      <c r="I16" s="10"/>
    </row>
    <row r="17" spans="1:9" ht="12.75">
      <c r="A17" s="4" t="s">
        <v>22</v>
      </c>
      <c r="B17" s="4" t="s">
        <v>17</v>
      </c>
      <c r="C17" s="40">
        <v>480</v>
      </c>
      <c r="D17" s="39">
        <v>140</v>
      </c>
      <c r="E17" s="8"/>
      <c r="F17" s="9">
        <v>2</v>
      </c>
      <c r="G17" s="9"/>
      <c r="H17" s="9"/>
      <c r="I17" s="10"/>
    </row>
    <row r="18" spans="1:9" ht="12.75">
      <c r="A18" s="4" t="s">
        <v>22</v>
      </c>
      <c r="B18" s="4" t="s">
        <v>23</v>
      </c>
      <c r="C18" s="40">
        <v>192</v>
      </c>
      <c r="D18" s="39">
        <v>56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19</v>
      </c>
      <c r="C19" s="40">
        <v>90</v>
      </c>
      <c r="D19" s="39">
        <v>8</v>
      </c>
      <c r="E19" s="8"/>
      <c r="F19" s="9"/>
      <c r="G19" s="9"/>
      <c r="H19" s="9"/>
      <c r="I19" s="10"/>
    </row>
    <row r="20" spans="1:9" ht="12.75">
      <c r="A20" s="4" t="s">
        <v>24</v>
      </c>
      <c r="B20" s="4" t="s">
        <v>4</v>
      </c>
      <c r="C20" s="40">
        <v>150</v>
      </c>
      <c r="D20" s="39">
        <v>12</v>
      </c>
      <c r="E20" s="8"/>
      <c r="F20" s="9"/>
      <c r="G20" s="9"/>
      <c r="H20" s="9"/>
      <c r="I20" s="10"/>
    </row>
    <row r="21" spans="1:9" ht="12.75">
      <c r="A21" s="4" t="s">
        <v>24</v>
      </c>
      <c r="B21" s="4" t="s">
        <v>23</v>
      </c>
      <c r="C21" s="40">
        <v>60</v>
      </c>
      <c r="D21" s="39">
        <v>5</v>
      </c>
      <c r="E21" s="8"/>
      <c r="F21" s="9"/>
      <c r="G21" s="9"/>
      <c r="H21" s="9"/>
      <c r="I21" s="10"/>
    </row>
    <row r="22" spans="1:9" ht="12.75">
      <c r="A22" s="4" t="s">
        <v>25</v>
      </c>
      <c r="B22" s="4" t="s">
        <v>19</v>
      </c>
      <c r="C22" s="40">
        <v>200</v>
      </c>
      <c r="D22" s="39">
        <v>20</v>
      </c>
      <c r="E22" s="8"/>
      <c r="F22" s="9"/>
      <c r="G22" s="9"/>
      <c r="H22" s="9"/>
      <c r="I22" s="10"/>
    </row>
    <row r="23" spans="1:9" ht="12.75">
      <c r="A23" s="4" t="s">
        <v>26</v>
      </c>
      <c r="B23" s="4" t="s">
        <v>4</v>
      </c>
      <c r="C23" s="38">
        <v>700</v>
      </c>
      <c r="D23" s="39">
        <v>340</v>
      </c>
      <c r="E23" s="8"/>
      <c r="F23" s="9"/>
      <c r="G23" s="9"/>
      <c r="H23" s="9"/>
      <c r="I23" s="10"/>
    </row>
    <row r="24" spans="1:9" ht="12.75">
      <c r="A24" s="4" t="s">
        <v>28</v>
      </c>
      <c r="B24" s="4" t="s">
        <v>17</v>
      </c>
      <c r="C24" s="38">
        <v>900</v>
      </c>
      <c r="D24" s="39">
        <v>200</v>
      </c>
      <c r="E24" s="8"/>
      <c r="F24" s="9">
        <v>2</v>
      </c>
      <c r="G24" s="9"/>
      <c r="H24" s="9"/>
      <c r="I24" s="10"/>
    </row>
    <row r="25" spans="1:9" ht="12.75">
      <c r="A25" s="4" t="s">
        <v>27</v>
      </c>
      <c r="B25" s="4" t="s">
        <v>19</v>
      </c>
      <c r="C25" s="38">
        <v>660</v>
      </c>
      <c r="D25" s="39">
        <v>200</v>
      </c>
      <c r="E25" s="8"/>
      <c r="F25" s="9"/>
      <c r="G25" s="9"/>
      <c r="H25" s="9"/>
      <c r="I25" s="10"/>
    </row>
    <row r="26" spans="1:9" ht="12.75">
      <c r="A26" s="4" t="s">
        <v>29</v>
      </c>
      <c r="B26" s="4" t="s">
        <v>4</v>
      </c>
      <c r="C26" s="38">
        <v>332</v>
      </c>
      <c r="D26" s="39">
        <v>146</v>
      </c>
      <c r="E26" s="8"/>
      <c r="F26" s="9"/>
      <c r="G26" s="9"/>
      <c r="H26" s="9"/>
      <c r="I26" s="10"/>
    </row>
    <row r="27" spans="1:9" ht="12.75">
      <c r="A27" s="4" t="s">
        <v>30</v>
      </c>
      <c r="B27" s="4" t="s">
        <v>19</v>
      </c>
      <c r="C27" s="38">
        <v>450</v>
      </c>
      <c r="D27" s="39">
        <v>60</v>
      </c>
      <c r="E27" s="8"/>
      <c r="F27" s="9"/>
      <c r="G27" s="9"/>
      <c r="H27" s="9"/>
      <c r="I27" s="10"/>
    </row>
    <row r="28" spans="1:9" ht="12.75">
      <c r="A28" s="4" t="s">
        <v>31</v>
      </c>
      <c r="B28" s="4" t="s">
        <v>17</v>
      </c>
      <c r="C28" s="38">
        <v>450</v>
      </c>
      <c r="D28" s="39">
        <v>300</v>
      </c>
      <c r="E28" s="8"/>
      <c r="F28" s="9">
        <v>26</v>
      </c>
      <c r="G28" s="9"/>
      <c r="H28" s="9"/>
      <c r="I28" s="10"/>
    </row>
    <row r="29" spans="1:9" ht="12.75">
      <c r="A29" s="4" t="s">
        <v>32</v>
      </c>
      <c r="B29" s="4" t="s">
        <v>19</v>
      </c>
      <c r="C29" s="38">
        <v>1100</v>
      </c>
      <c r="D29" s="39">
        <v>370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4</v>
      </c>
      <c r="C30" s="38">
        <v>1600</v>
      </c>
      <c r="D30" s="39">
        <v>540</v>
      </c>
      <c r="E30" s="8"/>
      <c r="F30" s="9"/>
      <c r="G30" s="9"/>
      <c r="H30" s="9"/>
      <c r="I30" s="10"/>
    </row>
    <row r="31" spans="1:9" ht="12.75">
      <c r="A31" s="4" t="s">
        <v>32</v>
      </c>
      <c r="B31" s="4" t="s">
        <v>17</v>
      </c>
      <c r="C31" s="38">
        <v>1750</v>
      </c>
      <c r="D31" s="39">
        <v>589</v>
      </c>
      <c r="E31" s="8"/>
      <c r="F31" s="9">
        <v>6</v>
      </c>
      <c r="G31" s="9"/>
      <c r="H31" s="9"/>
      <c r="I31" s="10"/>
    </row>
    <row r="32" spans="1:9" ht="12.75">
      <c r="A32" s="4" t="s">
        <v>32</v>
      </c>
      <c r="B32" s="4" t="s">
        <v>23</v>
      </c>
      <c r="C32" s="40">
        <v>550</v>
      </c>
      <c r="D32" s="39">
        <v>1</v>
      </c>
      <c r="E32" s="8"/>
      <c r="F32" s="9"/>
      <c r="G32" s="9"/>
      <c r="H32" s="9"/>
      <c r="I32" s="10"/>
    </row>
    <row r="33" spans="1:9" ht="12.75">
      <c r="A33" s="4" t="s">
        <v>33</v>
      </c>
      <c r="B33" s="4" t="s">
        <v>4</v>
      </c>
      <c r="C33" s="40">
        <v>1000</v>
      </c>
      <c r="D33" s="39">
        <v>200</v>
      </c>
      <c r="E33" s="8">
        <v>25.702895412305</v>
      </c>
      <c r="F33" s="9"/>
      <c r="G33" s="9">
        <v>117.4774894607343</v>
      </c>
      <c r="H33" s="9">
        <v>69.70061884684792</v>
      </c>
      <c r="I33" s="10">
        <v>81.89994493921868</v>
      </c>
    </row>
    <row r="34" spans="1:9" ht="12.75">
      <c r="A34" s="4" t="s">
        <v>34</v>
      </c>
      <c r="B34" s="4" t="s">
        <v>17</v>
      </c>
      <c r="C34" s="38">
        <v>795</v>
      </c>
      <c r="D34" s="39">
        <v>200</v>
      </c>
      <c r="E34" s="8">
        <v>5</v>
      </c>
      <c r="F34" s="9">
        <v>31</v>
      </c>
      <c r="G34" s="9">
        <v>194</v>
      </c>
      <c r="H34" s="9"/>
      <c r="I34" s="10">
        <v>24</v>
      </c>
    </row>
    <row r="35" spans="1:9" ht="12.75">
      <c r="A35" s="4" t="s">
        <v>35</v>
      </c>
      <c r="B35" s="4" t="s">
        <v>19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4</v>
      </c>
      <c r="C36" s="40">
        <v>142</v>
      </c>
      <c r="D36" s="39">
        <v>14</v>
      </c>
      <c r="E36" s="8"/>
      <c r="F36" s="9"/>
      <c r="G36" s="9"/>
      <c r="H36" s="9"/>
      <c r="I36" s="10"/>
    </row>
    <row r="37" spans="1:9" ht="12.75">
      <c r="A37" s="4" t="s">
        <v>35</v>
      </c>
      <c r="B37" s="4" t="s">
        <v>17</v>
      </c>
      <c r="C37" s="40">
        <v>250</v>
      </c>
      <c r="D37" s="39">
        <v>8</v>
      </c>
      <c r="E37" s="8"/>
      <c r="F37" s="9">
        <v>1</v>
      </c>
      <c r="G37" s="9"/>
      <c r="H37" s="9"/>
      <c r="I37" s="10"/>
    </row>
    <row r="38" spans="1:9" ht="12.75">
      <c r="A38" s="4" t="s">
        <v>35</v>
      </c>
      <c r="B38" s="4" t="s">
        <v>23</v>
      </c>
      <c r="C38" s="40">
        <v>111</v>
      </c>
      <c r="D38" s="39">
        <v>6</v>
      </c>
      <c r="E38" s="8"/>
      <c r="F38" s="9"/>
      <c r="G38" s="9"/>
      <c r="H38" s="9"/>
      <c r="I38" s="10"/>
    </row>
    <row r="39" spans="1:9" ht="12.75">
      <c r="A39" s="4" t="s">
        <v>36</v>
      </c>
      <c r="B39" s="4" t="s">
        <v>4</v>
      </c>
      <c r="C39" s="40">
        <v>525</v>
      </c>
      <c r="D39" s="39">
        <v>84</v>
      </c>
      <c r="E39" s="8"/>
      <c r="F39" s="9"/>
      <c r="G39" s="9"/>
      <c r="H39" s="9"/>
      <c r="I39" s="10"/>
    </row>
    <row r="40" spans="1:9" ht="12.75">
      <c r="A40" s="4" t="s">
        <v>36</v>
      </c>
      <c r="B40" s="4" t="s">
        <v>17</v>
      </c>
      <c r="C40" s="40">
        <v>225</v>
      </c>
      <c r="D40" s="39">
        <v>42</v>
      </c>
      <c r="E40" s="8"/>
      <c r="F40" s="9">
        <v>1</v>
      </c>
      <c r="G40" s="9"/>
      <c r="H40" s="9"/>
      <c r="I40" s="10"/>
    </row>
    <row r="41" spans="1:9" ht="12.75">
      <c r="A41" s="4" t="s">
        <v>37</v>
      </c>
      <c r="B41" s="4" t="s">
        <v>19</v>
      </c>
      <c r="C41" s="40">
        <v>600</v>
      </c>
      <c r="D41" s="39">
        <v>53</v>
      </c>
      <c r="E41" s="8"/>
      <c r="F41" s="9"/>
      <c r="G41" s="9"/>
      <c r="H41" s="9"/>
      <c r="I41" s="10"/>
    </row>
    <row r="42" spans="1:9" ht="12.75">
      <c r="A42" s="4" t="s">
        <v>37</v>
      </c>
      <c r="B42" s="4" t="s">
        <v>4</v>
      </c>
      <c r="C42" s="40">
        <v>300</v>
      </c>
      <c r="D42" s="39">
        <v>27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19</v>
      </c>
      <c r="C43" s="40">
        <v>910</v>
      </c>
      <c r="D43" s="39">
        <v>283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4</v>
      </c>
      <c r="C44" s="40">
        <v>1000</v>
      </c>
      <c r="D44" s="39">
        <v>515</v>
      </c>
      <c r="E44" s="8"/>
      <c r="F44" s="9"/>
      <c r="G44" s="9"/>
      <c r="H44" s="9"/>
      <c r="I44" s="10"/>
    </row>
    <row r="45" spans="1:9" ht="12.75">
      <c r="A45" s="4" t="s">
        <v>38</v>
      </c>
      <c r="B45" s="4" t="s">
        <v>17</v>
      </c>
      <c r="C45" s="40">
        <v>1120</v>
      </c>
      <c r="D45" s="39">
        <v>390</v>
      </c>
      <c r="E45" s="8"/>
      <c r="F45" s="9">
        <v>5</v>
      </c>
      <c r="G45" s="9"/>
      <c r="H45" s="9"/>
      <c r="I45" s="10"/>
    </row>
    <row r="46" spans="1:9" ht="12.75">
      <c r="A46" s="4" t="s">
        <v>38</v>
      </c>
      <c r="B46" s="4" t="s">
        <v>23</v>
      </c>
      <c r="C46" s="40">
        <v>1035</v>
      </c>
      <c r="D46" s="39">
        <v>273</v>
      </c>
      <c r="E46" s="8"/>
      <c r="F46" s="9"/>
      <c r="G46" s="9"/>
      <c r="H46" s="9"/>
      <c r="I46" s="10"/>
    </row>
    <row r="47" spans="1:9" ht="12.75">
      <c r="A47" s="4" t="s">
        <v>39</v>
      </c>
      <c r="B47" s="4" t="s">
        <v>4</v>
      </c>
      <c r="C47" s="40">
        <v>719</v>
      </c>
      <c r="D47" s="39">
        <v>308</v>
      </c>
      <c r="E47" s="8"/>
      <c r="F47" s="9"/>
      <c r="G47" s="9"/>
      <c r="H47" s="9"/>
      <c r="I47" s="10"/>
    </row>
    <row r="48" spans="1:9" ht="12.75">
      <c r="A48" s="4" t="s">
        <v>40</v>
      </c>
      <c r="B48" s="4" t="s">
        <v>17</v>
      </c>
      <c r="C48" s="40">
        <v>1036</v>
      </c>
      <c r="D48" s="39">
        <v>276</v>
      </c>
      <c r="E48" s="8"/>
      <c r="F48" s="9">
        <v>3</v>
      </c>
      <c r="G48" s="9"/>
      <c r="H48" s="9"/>
      <c r="I48" s="10"/>
    </row>
    <row r="49" spans="1:9" ht="12.75">
      <c r="A49" s="4" t="s">
        <v>41</v>
      </c>
      <c r="B49" s="4" t="s">
        <v>23</v>
      </c>
      <c r="C49" s="40">
        <v>300</v>
      </c>
      <c r="D49" s="39">
        <v>0.9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4</v>
      </c>
      <c r="C50" s="40">
        <v>185</v>
      </c>
      <c r="D50" s="39">
        <v>80</v>
      </c>
      <c r="E50" s="8"/>
      <c r="F50" s="9"/>
      <c r="G50" s="9"/>
      <c r="H50" s="9"/>
      <c r="I50" s="10"/>
    </row>
    <row r="51" spans="1:9" ht="12.75">
      <c r="A51" s="4" t="s">
        <v>42</v>
      </c>
      <c r="B51" s="4" t="s">
        <v>17</v>
      </c>
      <c r="C51" s="40">
        <v>230</v>
      </c>
      <c r="D51" s="39">
        <v>80</v>
      </c>
      <c r="E51" s="8"/>
      <c r="F51" s="9">
        <v>1</v>
      </c>
      <c r="G51" s="9"/>
      <c r="H51" s="9"/>
      <c r="I51" s="10"/>
    </row>
    <row r="52" spans="1:9" ht="12.75">
      <c r="A52" s="4" t="s">
        <v>42</v>
      </c>
      <c r="B52" s="4" t="s">
        <v>23</v>
      </c>
      <c r="C52" s="40">
        <v>265</v>
      </c>
      <c r="D52" s="39">
        <v>65</v>
      </c>
      <c r="E52" s="8"/>
      <c r="F52" s="9"/>
      <c r="G52" s="9"/>
      <c r="H52" s="9"/>
      <c r="I52" s="10"/>
    </row>
    <row r="53" spans="1:9" ht="12.75">
      <c r="A53" s="4" t="s">
        <v>43</v>
      </c>
      <c r="B53" s="4" t="s">
        <v>4</v>
      </c>
      <c r="C53" s="38">
        <v>200</v>
      </c>
      <c r="D53" s="39">
        <v>40</v>
      </c>
      <c r="E53" s="8">
        <v>5.140579082461</v>
      </c>
      <c r="F53" s="9">
        <v>2.645186253473566</v>
      </c>
      <c r="G53" s="9">
        <v>23.495497892146858</v>
      </c>
      <c r="H53" s="9">
        <v>13.940123769369581</v>
      </c>
      <c r="I53" s="10">
        <v>16.379988987843735</v>
      </c>
    </row>
    <row r="54" spans="1:9" ht="12.75">
      <c r="A54" s="4" t="s">
        <v>43</v>
      </c>
      <c r="B54" s="4" t="s">
        <v>17</v>
      </c>
      <c r="C54" s="40">
        <v>200</v>
      </c>
      <c r="D54" s="39">
        <v>35</v>
      </c>
      <c r="E54" s="8">
        <v>2</v>
      </c>
      <c r="F54" s="9">
        <v>6</v>
      </c>
      <c r="G54" s="9">
        <v>62</v>
      </c>
      <c r="H54" s="9"/>
      <c r="I54" s="10">
        <v>8</v>
      </c>
    </row>
    <row r="55" spans="1:9" ht="12.75">
      <c r="A55" s="4" t="s">
        <v>44</v>
      </c>
      <c r="B55" s="4" t="s">
        <v>19</v>
      </c>
      <c r="C55" s="40">
        <v>154</v>
      </c>
      <c r="D55" s="39">
        <v>18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4</v>
      </c>
      <c r="C56" s="40">
        <v>3024</v>
      </c>
      <c r="D56" s="39">
        <v>378</v>
      </c>
      <c r="E56" s="8"/>
      <c r="F56" s="9"/>
      <c r="G56" s="9"/>
      <c r="H56" s="9"/>
      <c r="I56" s="10"/>
    </row>
    <row r="57" spans="1:9" ht="12.75">
      <c r="A57" s="4" t="s">
        <v>44</v>
      </c>
      <c r="B57" s="4" t="s">
        <v>17</v>
      </c>
      <c r="C57" s="40">
        <v>851</v>
      </c>
      <c r="D57" s="39">
        <v>106</v>
      </c>
      <c r="E57" s="8"/>
      <c r="F57" s="9">
        <v>1</v>
      </c>
      <c r="G57" s="9"/>
      <c r="H57" s="9"/>
      <c r="I57" s="10"/>
    </row>
    <row r="58" spans="1:9" ht="12.75">
      <c r="A58" s="4" t="s">
        <v>44</v>
      </c>
      <c r="B58" s="4" t="s">
        <v>23</v>
      </c>
      <c r="C58" s="40">
        <v>796</v>
      </c>
      <c r="D58" s="39">
        <v>100</v>
      </c>
      <c r="E58" s="8"/>
      <c r="F58" s="9"/>
      <c r="G58" s="9"/>
      <c r="H58" s="9"/>
      <c r="I58" s="10"/>
    </row>
    <row r="59" spans="1:9" ht="12.75">
      <c r="A59" s="4" t="s">
        <v>45</v>
      </c>
      <c r="B59" s="4" t="s">
        <v>19</v>
      </c>
      <c r="C59" s="40">
        <v>560</v>
      </c>
      <c r="D59" s="39">
        <v>70</v>
      </c>
      <c r="E59" s="8"/>
      <c r="F59" s="9"/>
      <c r="G59" s="9"/>
      <c r="H59" s="9"/>
      <c r="I59" s="10"/>
    </row>
    <row r="60" spans="1:9" ht="12.75">
      <c r="A60" s="4" t="s">
        <v>45</v>
      </c>
      <c r="B60" s="4" t="s">
        <v>17</v>
      </c>
      <c r="C60" s="40">
        <v>240</v>
      </c>
      <c r="D60" s="39">
        <v>30</v>
      </c>
      <c r="E60" s="8"/>
      <c r="F60" s="9">
        <v>1</v>
      </c>
      <c r="G60" s="9"/>
      <c r="H60" s="9"/>
      <c r="I60" s="10"/>
    </row>
    <row r="61" spans="1:9" ht="12.75">
      <c r="A61" s="4" t="s">
        <v>46</v>
      </c>
      <c r="B61" s="4" t="s">
        <v>4</v>
      </c>
      <c r="C61" s="38">
        <v>1090</v>
      </c>
      <c r="D61" s="39">
        <v>480</v>
      </c>
      <c r="E61" s="8"/>
      <c r="F61" s="9"/>
      <c r="G61" s="9"/>
      <c r="H61" s="9"/>
      <c r="I61" s="10"/>
    </row>
    <row r="62" spans="1:9" ht="12.75">
      <c r="A62" s="4" t="s">
        <v>47</v>
      </c>
      <c r="B62" s="4" t="s">
        <v>4</v>
      </c>
      <c r="C62" s="38">
        <v>1700</v>
      </c>
      <c r="D62" s="39">
        <v>540</v>
      </c>
      <c r="E62" s="8"/>
      <c r="F62" s="9"/>
      <c r="G62" s="9"/>
      <c r="H62" s="9"/>
      <c r="I62" s="10"/>
    </row>
    <row r="63" spans="1:9" ht="12.75">
      <c r="A63" s="4" t="s">
        <v>48</v>
      </c>
      <c r="B63" s="4" t="s">
        <v>4</v>
      </c>
      <c r="C63" s="38">
        <v>1100</v>
      </c>
      <c r="D63" s="39">
        <v>465</v>
      </c>
      <c r="E63" s="8"/>
      <c r="F63" s="9"/>
      <c r="G63" s="9"/>
      <c r="H63" s="9"/>
      <c r="I63" s="10"/>
    </row>
    <row r="64" spans="1:9" ht="12.75">
      <c r="A64" s="4" t="s">
        <v>49</v>
      </c>
      <c r="B64" s="4" t="s">
        <v>17</v>
      </c>
      <c r="C64" s="38">
        <v>1000</v>
      </c>
      <c r="D64" s="39">
        <v>200</v>
      </c>
      <c r="E64" s="8"/>
      <c r="F64" s="9">
        <v>2</v>
      </c>
      <c r="G64" s="9"/>
      <c r="H64" s="9"/>
      <c r="I64" s="10"/>
    </row>
    <row r="65" spans="1:9" ht="12.75">
      <c r="A65" s="4" t="s">
        <v>50</v>
      </c>
      <c r="B65" s="4" t="s">
        <v>17</v>
      </c>
      <c r="C65" s="38">
        <v>1000</v>
      </c>
      <c r="D65" s="39">
        <v>200</v>
      </c>
      <c r="E65" s="8"/>
      <c r="F65" s="9">
        <v>2</v>
      </c>
      <c r="G65" s="9"/>
      <c r="H65" s="9"/>
      <c r="I65" s="10"/>
    </row>
    <row r="66" spans="1:9" ht="12.75">
      <c r="A66" s="4" t="s">
        <v>51</v>
      </c>
      <c r="B66" s="4" t="s">
        <v>17</v>
      </c>
      <c r="C66" s="38">
        <v>1000</v>
      </c>
      <c r="D66" s="39">
        <v>200</v>
      </c>
      <c r="E66" s="8"/>
      <c r="F66" s="9">
        <v>2</v>
      </c>
      <c r="G66" s="9"/>
      <c r="H66" s="9"/>
      <c r="I66" s="10"/>
    </row>
    <row r="67" spans="1:9" ht="12.75">
      <c r="A67" s="4" t="s">
        <v>52</v>
      </c>
      <c r="B67" s="4" t="s">
        <v>17</v>
      </c>
      <c r="C67" s="38">
        <v>1000</v>
      </c>
      <c r="D67" s="39">
        <v>200</v>
      </c>
      <c r="E67" s="8"/>
      <c r="F67" s="9">
        <v>2</v>
      </c>
      <c r="G67" s="9"/>
      <c r="H67" s="9"/>
      <c r="I67" s="10"/>
    </row>
    <row r="68" spans="1:9" ht="12.75">
      <c r="A68" s="4" t="s">
        <v>53</v>
      </c>
      <c r="B68" s="4" t="s">
        <v>17</v>
      </c>
      <c r="C68" s="38">
        <v>1000</v>
      </c>
      <c r="D68" s="39">
        <v>200</v>
      </c>
      <c r="E68" s="8"/>
      <c r="F68" s="9">
        <v>2</v>
      </c>
      <c r="G68" s="9"/>
      <c r="H68" s="9"/>
      <c r="I68" s="10"/>
    </row>
    <row r="69" spans="1:9" ht="12.75">
      <c r="A69" s="4" t="s">
        <v>54</v>
      </c>
      <c r="B69" s="4" t="s">
        <v>17</v>
      </c>
      <c r="C69" s="38">
        <v>1000</v>
      </c>
      <c r="D69" s="39">
        <v>200</v>
      </c>
      <c r="E69" s="8"/>
      <c r="F69" s="9">
        <v>2</v>
      </c>
      <c r="G69" s="9"/>
      <c r="H69" s="9"/>
      <c r="I69" s="10"/>
    </row>
    <row r="70" spans="1:9" ht="12.75">
      <c r="A70" s="4" t="s">
        <v>55</v>
      </c>
      <c r="B70" s="4" t="s">
        <v>17</v>
      </c>
      <c r="C70" s="38">
        <v>1000</v>
      </c>
      <c r="D70" s="39">
        <v>200</v>
      </c>
      <c r="E70" s="8"/>
      <c r="F70" s="9">
        <v>2</v>
      </c>
      <c r="G70" s="9"/>
      <c r="H70" s="9"/>
      <c r="I70" s="10"/>
    </row>
    <row r="71" spans="1:9" ht="12.75">
      <c r="A71" s="109"/>
      <c r="B71" s="110"/>
      <c r="C71" s="111"/>
      <c r="D71" s="111"/>
      <c r="E71" s="112"/>
      <c r="F71" s="113"/>
      <c r="G71" s="113"/>
      <c r="H71" s="113"/>
      <c r="I71" s="114"/>
    </row>
    <row r="72" spans="1:9" s="69" customFormat="1" ht="12.75">
      <c r="A72" s="120" t="s">
        <v>124</v>
      </c>
      <c r="B72" s="115"/>
      <c r="C72" s="116"/>
      <c r="D72" s="116"/>
      <c r="E72" s="117"/>
      <c r="F72" s="118"/>
      <c r="G72" s="118"/>
      <c r="H72" s="118"/>
      <c r="I72" s="119"/>
    </row>
    <row r="73" spans="1:9" ht="12.75">
      <c r="A73" s="4" t="s">
        <v>56</v>
      </c>
      <c r="B73" s="4" t="s">
        <v>4</v>
      </c>
      <c r="C73" s="40"/>
      <c r="D73" s="41"/>
      <c r="E73" s="8"/>
      <c r="F73" s="9"/>
      <c r="G73" s="9"/>
      <c r="H73" s="9"/>
      <c r="I73" s="10"/>
    </row>
    <row r="74" spans="1:9" ht="12.75">
      <c r="A74" s="4" t="s">
        <v>57</v>
      </c>
      <c r="B74" s="4" t="s">
        <v>17</v>
      </c>
      <c r="C74" s="49">
        <v>1050</v>
      </c>
      <c r="D74" s="50">
        <v>270</v>
      </c>
      <c r="E74" s="46"/>
      <c r="F74" s="47">
        <v>3</v>
      </c>
      <c r="G74" s="47"/>
      <c r="H74" s="47"/>
      <c r="I74" s="48"/>
    </row>
    <row r="75" spans="1:9" ht="12.75">
      <c r="A75" s="4" t="s">
        <v>58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58</v>
      </c>
      <c r="B76" s="4" t="s">
        <v>17</v>
      </c>
      <c r="C76" s="40">
        <v>500</v>
      </c>
      <c r="D76" s="41">
        <v>27</v>
      </c>
      <c r="E76" s="8"/>
      <c r="F76" s="9">
        <v>1</v>
      </c>
      <c r="G76" s="9"/>
      <c r="H76" s="9"/>
      <c r="I76" s="10"/>
    </row>
    <row r="77" spans="1:9" ht="12.75">
      <c r="A77" s="4" t="s">
        <v>58</v>
      </c>
      <c r="B77" s="4" t="s">
        <v>23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59</v>
      </c>
      <c r="B78" s="4" t="s">
        <v>4</v>
      </c>
      <c r="C78" s="40"/>
      <c r="D78" s="41"/>
      <c r="E78" s="8"/>
      <c r="F78" s="9"/>
      <c r="G78" s="9"/>
      <c r="H78" s="9"/>
      <c r="I78" s="10"/>
    </row>
    <row r="79" spans="1:9" ht="12.75">
      <c r="A79" s="4" t="s">
        <v>60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61</v>
      </c>
      <c r="B80" s="4" t="s">
        <v>19</v>
      </c>
      <c r="C80" s="40"/>
      <c r="D80" s="41"/>
      <c r="E80" s="8"/>
      <c r="F80" s="9"/>
      <c r="G80" s="9"/>
      <c r="H80" s="9"/>
      <c r="I80" s="10"/>
    </row>
    <row r="81" spans="1:9" ht="12.75">
      <c r="A81" s="4" t="s">
        <v>61</v>
      </c>
      <c r="B81" s="4" t="s">
        <v>17</v>
      </c>
      <c r="C81" s="40">
        <v>200</v>
      </c>
      <c r="D81" s="41">
        <v>100</v>
      </c>
      <c r="E81" s="46"/>
      <c r="F81" s="47">
        <v>1</v>
      </c>
      <c r="G81" s="47"/>
      <c r="H81" s="47"/>
      <c r="I81" s="48"/>
    </row>
    <row r="82" spans="1:9" ht="12.75">
      <c r="A82" s="4" t="s">
        <v>62</v>
      </c>
      <c r="B82" s="4" t="s">
        <v>4</v>
      </c>
      <c r="C82" s="40"/>
      <c r="D82" s="41"/>
      <c r="E82" s="8"/>
      <c r="F82" s="9"/>
      <c r="G82" s="9"/>
      <c r="H82" s="9"/>
      <c r="I82" s="10"/>
    </row>
    <row r="83" spans="1:9" ht="12.75">
      <c r="A83" s="4" t="s">
        <v>63</v>
      </c>
      <c r="B83" s="4" t="s">
        <v>4</v>
      </c>
      <c r="C83" s="40"/>
      <c r="D83" s="41"/>
      <c r="E83" s="8"/>
      <c r="F83" s="9"/>
      <c r="G83" s="9"/>
      <c r="H83" s="9"/>
      <c r="I83" s="10"/>
    </row>
    <row r="84" spans="1:9" ht="12.75">
      <c r="A84" s="109"/>
      <c r="B84" s="110"/>
      <c r="C84" s="121"/>
      <c r="D84" s="122"/>
      <c r="E84" s="112"/>
      <c r="F84" s="113"/>
      <c r="G84" s="113"/>
      <c r="H84" s="113"/>
      <c r="I84" s="114"/>
    </row>
    <row r="85" spans="1:9" ht="12.75">
      <c r="A85" s="120" t="s">
        <v>125</v>
      </c>
      <c r="B85" s="115"/>
      <c r="C85" s="116"/>
      <c r="D85" s="116"/>
      <c r="E85" s="117"/>
      <c r="F85" s="118"/>
      <c r="G85" s="118"/>
      <c r="H85" s="118"/>
      <c r="I85" s="119"/>
    </row>
    <row r="86" spans="1:9" ht="12.75">
      <c r="A86" s="4" t="s">
        <v>64</v>
      </c>
      <c r="B86" s="4" t="s">
        <v>19</v>
      </c>
      <c r="C86" s="40">
        <v>600</v>
      </c>
      <c r="D86" s="41">
        <v>2</v>
      </c>
      <c r="E86" s="8"/>
      <c r="F86" s="9"/>
      <c r="G86" s="9"/>
      <c r="H86" s="9"/>
      <c r="I86" s="10"/>
    </row>
    <row r="87" spans="1:9" ht="12.75">
      <c r="A87" s="4" t="s">
        <v>65</v>
      </c>
      <c r="B87" s="4" t="s">
        <v>19</v>
      </c>
      <c r="C87" s="40">
        <v>20</v>
      </c>
      <c r="D87" s="41">
        <v>1.6</v>
      </c>
      <c r="E87" s="8"/>
      <c r="F87" s="9"/>
      <c r="G87" s="9"/>
      <c r="H87" s="9"/>
      <c r="I87" s="10"/>
    </row>
    <row r="88" spans="1:9" ht="12.75">
      <c r="A88" s="4" t="s">
        <v>74</v>
      </c>
      <c r="B88" s="4" t="s">
        <v>19</v>
      </c>
      <c r="C88" s="40"/>
      <c r="D88" s="41"/>
      <c r="E88" s="8"/>
      <c r="F88" s="9"/>
      <c r="G88" s="9"/>
      <c r="H88" s="9"/>
      <c r="I88" s="10"/>
    </row>
    <row r="89" spans="1:9" ht="12.75">
      <c r="A89" s="4" t="s">
        <v>75</v>
      </c>
      <c r="B89" s="4" t="s">
        <v>19</v>
      </c>
      <c r="C89" s="40"/>
      <c r="D89" s="41"/>
      <c r="E89" s="8"/>
      <c r="F89" s="9"/>
      <c r="G89" s="9"/>
      <c r="H89" s="9"/>
      <c r="I89" s="10"/>
    </row>
    <row r="90" spans="1:9" ht="12.75">
      <c r="A90" s="4" t="s">
        <v>76</v>
      </c>
      <c r="B90" s="4" t="s">
        <v>19</v>
      </c>
      <c r="C90" s="40">
        <v>80</v>
      </c>
      <c r="D90" s="41">
        <v>17</v>
      </c>
      <c r="E90" s="8"/>
      <c r="F90" s="9"/>
      <c r="G90" s="9"/>
      <c r="H90" s="9"/>
      <c r="I90" s="10"/>
    </row>
    <row r="91" spans="1:9" ht="12.75">
      <c r="A91" s="4" t="s">
        <v>77</v>
      </c>
      <c r="B91" s="4" t="s">
        <v>19</v>
      </c>
      <c r="C91" s="40">
        <v>150</v>
      </c>
      <c r="D91" s="41">
        <v>60</v>
      </c>
      <c r="E91" s="8"/>
      <c r="F91" s="9"/>
      <c r="G91" s="9"/>
      <c r="H91" s="9"/>
      <c r="I91" s="10"/>
    </row>
    <row r="92" spans="1:9" ht="12.75">
      <c r="A92" s="4" t="s">
        <v>78</v>
      </c>
      <c r="B92" s="4" t="s">
        <v>19</v>
      </c>
      <c r="C92" s="40">
        <v>96</v>
      </c>
      <c r="D92" s="41">
        <v>13</v>
      </c>
      <c r="E92" s="8"/>
      <c r="F92" s="9"/>
      <c r="G92" s="9"/>
      <c r="H92" s="9"/>
      <c r="I92" s="10"/>
    </row>
    <row r="93" spans="1:9" ht="12.75">
      <c r="A93" s="4" t="s">
        <v>79</v>
      </c>
      <c r="B93" s="4" t="s">
        <v>19</v>
      </c>
      <c r="C93" s="40">
        <v>132</v>
      </c>
      <c r="D93" s="41">
        <v>10</v>
      </c>
      <c r="E93" s="8"/>
      <c r="F93" s="9"/>
      <c r="G93" s="9"/>
      <c r="H93" s="9"/>
      <c r="I93" s="10"/>
    </row>
    <row r="94" spans="1:14" ht="12.75">
      <c r="A94" s="12" t="s">
        <v>82</v>
      </c>
      <c r="B94" s="12" t="s">
        <v>19</v>
      </c>
      <c r="C94" s="42">
        <v>1700</v>
      </c>
      <c r="D94" s="43">
        <v>813</v>
      </c>
      <c r="E94" s="15"/>
      <c r="F94" s="16"/>
      <c r="G94" s="16"/>
      <c r="H94" s="16"/>
      <c r="I94" s="17"/>
      <c r="N94" s="87"/>
    </row>
    <row r="95" spans="1:9" ht="12.75">
      <c r="A95" s="18" t="s">
        <v>84</v>
      </c>
      <c r="B95" s="18" t="s">
        <v>17</v>
      </c>
      <c r="C95" s="44">
        <v>200</v>
      </c>
      <c r="D95" s="45">
        <v>100</v>
      </c>
      <c r="E95" s="15"/>
      <c r="F95" s="16">
        <v>1</v>
      </c>
      <c r="G95" s="16"/>
      <c r="H95" s="16"/>
      <c r="I95" s="17"/>
    </row>
    <row r="96" spans="1:9" ht="12.75">
      <c r="A96" s="92" t="s">
        <v>108</v>
      </c>
      <c r="B96" s="4" t="s">
        <v>19</v>
      </c>
      <c r="C96" s="40"/>
      <c r="D96" s="93"/>
      <c r="E96" s="8"/>
      <c r="F96" s="9"/>
      <c r="G96" s="9"/>
      <c r="H96" s="9"/>
      <c r="I96" s="10"/>
    </row>
    <row r="97" spans="1:9" ht="13.5" thickBot="1">
      <c r="A97" s="94" t="s">
        <v>109</v>
      </c>
      <c r="B97" s="61" t="s">
        <v>19</v>
      </c>
      <c r="C97" s="62"/>
      <c r="D97" s="95"/>
      <c r="E97" s="32"/>
      <c r="F97" s="33"/>
      <c r="G97" s="33"/>
      <c r="H97" s="33"/>
      <c r="I97" s="34"/>
    </row>
    <row r="98" spans="1:12" ht="13.5" customHeight="1" thickBot="1">
      <c r="A98" s="138" t="s">
        <v>85</v>
      </c>
      <c r="B98" s="139"/>
      <c r="C98" s="72" t="s">
        <v>92</v>
      </c>
      <c r="D98" s="73" t="s">
        <v>91</v>
      </c>
      <c r="E98" s="74" t="s">
        <v>80</v>
      </c>
      <c r="F98" s="75" t="s">
        <v>81</v>
      </c>
      <c r="G98" s="151" t="s">
        <v>93</v>
      </c>
      <c r="H98" s="152"/>
      <c r="I98" s="152"/>
      <c r="J98" s="132" t="s">
        <v>94</v>
      </c>
      <c r="K98" s="133"/>
      <c r="L98" s="134"/>
    </row>
    <row r="99" spans="1:12" ht="26.25" thickBot="1">
      <c r="A99" s="140"/>
      <c r="B99" s="141"/>
      <c r="C99" s="76" t="s">
        <v>70</v>
      </c>
      <c r="D99" s="77" t="s">
        <v>70</v>
      </c>
      <c r="E99" s="77" t="s">
        <v>70</v>
      </c>
      <c r="F99" s="77" t="s">
        <v>70</v>
      </c>
      <c r="G99" s="77" t="s">
        <v>71</v>
      </c>
      <c r="H99" s="77" t="s">
        <v>72</v>
      </c>
      <c r="I99" s="77" t="s">
        <v>73</v>
      </c>
      <c r="J99" s="77" t="s">
        <v>71</v>
      </c>
      <c r="K99" s="77" t="s">
        <v>72</v>
      </c>
      <c r="L99" s="78" t="s">
        <v>73</v>
      </c>
    </row>
    <row r="100" spans="1:12" ht="12.75">
      <c r="A100" s="20"/>
      <c r="B100" s="35" t="s">
        <v>19</v>
      </c>
      <c r="C100" s="80"/>
      <c r="D100" s="81"/>
      <c r="E100" s="86">
        <f>E9+E12+E15+E19+E22+E25+E27+E29+E35+E41+E43+E55+E59+E80+E86+E87+E88+E89+E90+E91+E92+E93+E94</f>
        <v>0</v>
      </c>
      <c r="F100" s="52">
        <f>F9+F12+F15+F19+F22+F25+F27+F29+F35+F41+F43+F55+F59+F80+F86+F87+F88+F89+F90+F91+F92+F93+F94</f>
        <v>0</v>
      </c>
      <c r="G100" s="52">
        <f>G9+G12+G15+G19+G22+G25+G27+G29+G35+G41+G43+G55+G59+G80+G86+G87+G88+G89+G90+G91+G92+G93+G94</f>
        <v>0</v>
      </c>
      <c r="H100" s="52">
        <f>H9+H12+H15+H19+H22+H25+H27+H29+H35+H41+H43+H55+H59+H80+H86+H87+H88+H89+H90+H91+H92+H93+H94</f>
        <v>0</v>
      </c>
      <c r="I100" s="85">
        <f>I9+I12+I15+I19+I22+I25+I27+I29+I35+I41+I43+I55+I59+I80+I86+I87+I88+I89+I90+I91+I92+I93+I94</f>
        <v>0</v>
      </c>
      <c r="J100" s="81"/>
      <c r="K100" s="81"/>
      <c r="L100" s="82"/>
    </row>
    <row r="101" spans="2:12" ht="12.75">
      <c r="B101" s="36" t="s">
        <v>4</v>
      </c>
      <c r="C101" s="8">
        <v>35.6616</v>
      </c>
      <c r="D101" s="9">
        <v>82.16222056878307</v>
      </c>
      <c r="E101" s="26">
        <f>E6+E7+E10+E13+E16+E20+E23+E26+E30+E33+E36+E39+E42+E44+E47+E50+E53+E56+E61+E62+E63+E73+E75+E78+E79+E82+E83</f>
        <v>37.24781509565049</v>
      </c>
      <c r="F101" s="9">
        <f>F6+F7+F10+F13+F16+F20+F23+F26+F30+F33+F36+F39+F42+F44+F47+F50+F53+F56+F61+F62+F63+F73+F75+F78+F79+F82+F83</f>
        <v>14.52220436382033</v>
      </c>
      <c r="G101" s="9">
        <f>G6+G7+G10+G13+G16+G20+G23+G26+G30+G33+G36+G39+G42+G44+G47+G50+G53+G56+G61+G62+G63+G73+G75+G78+G79+G82+G83</f>
        <v>170.24462556229363</v>
      </c>
      <c r="H101" s="9">
        <f>H6+H7+H10+H13+H16+H20+H23+H26+H30+H33+H36+H39+H42+H44+H47+H50+H53+H56+H61+H62+H63+H73+H75+H78+H79+H82+H83</f>
        <v>101.0079106347256</v>
      </c>
      <c r="I101" s="14">
        <f>I6+I7+I10+I13+I16+I20+I23+I26+I30+I33+I36+I39+I42+I44+I47+I50+I53+I56+I61+I62+I63+I73+I75+I78+I79+I82+I83</f>
        <v>118.68678436825184</v>
      </c>
      <c r="J101" s="9">
        <v>183.1596</v>
      </c>
      <c r="K101" s="9">
        <v>156.2444</v>
      </c>
      <c r="L101" s="10">
        <v>201.46672</v>
      </c>
    </row>
    <row r="102" spans="2:12" ht="12.75">
      <c r="B102" s="36" t="s">
        <v>17</v>
      </c>
      <c r="C102" s="8">
        <v>37</v>
      </c>
      <c r="D102" s="9">
        <v>159</v>
      </c>
      <c r="E102" s="26">
        <f>E8+E11+E14+E17+E24+E28+E31+E34+E37++E40+E45+E48+E51+E54+E57+E60+E64+E65+E66+E67+E68+E69+E70+E74+E76+E81+E95</f>
        <v>7</v>
      </c>
      <c r="F102" s="9">
        <f>F8+F11+F14+F17+F24+F28+F31+F34+F37++F40+F45+F48+F51+F54+F57+F60+F64+F65+F66+F67+F68+F69+F70+F74+F76+F81+F95</f>
        <v>112</v>
      </c>
      <c r="G102" s="9">
        <f>G8+G11+G14+G17+G24+G28+G31+G34+G37++G40+G45+G48+G51+G54+G57+G60+G64+G65+G66+G67+G68+G69+G70+G74+G76+G81+G95</f>
        <v>256</v>
      </c>
      <c r="H102" s="9">
        <f>H8+H11+H14+H17+H24+H28+H31+H34+H37++H40+H45+H48+H51+H54+H57+H60+H64+H65+H66+H67+H68+H69+H70+H74+H76+H81+H95</f>
        <v>0</v>
      </c>
      <c r="I102" s="14">
        <f>I8+I11+I14+I17+I24+I28+I31+I34+I37++I40+I45+I48+I51+I54+I57+I60+I64+I65+I66+I67+I68+I69+I70+I74+I76+I81+I95</f>
        <v>32</v>
      </c>
      <c r="J102" s="9">
        <v>672</v>
      </c>
      <c r="K102" s="9">
        <v>0</v>
      </c>
      <c r="L102" s="10">
        <v>426</v>
      </c>
    </row>
    <row r="103" spans="2:12" ht="12.75">
      <c r="B103" s="36" t="s">
        <v>23</v>
      </c>
      <c r="C103" s="46"/>
      <c r="D103" s="47"/>
      <c r="E103" s="26">
        <f>E18+E21+E32+E38+E46+E49+E52+E58+E77</f>
        <v>0</v>
      </c>
      <c r="F103" s="9">
        <f>F18+F21+F32+F38+F46+F49+F52+F58+F77</f>
        <v>0</v>
      </c>
      <c r="G103" s="9">
        <f>G18+G21+G32+G38+G46+G49+G52+G58+G77</f>
        <v>0</v>
      </c>
      <c r="H103" s="9">
        <f>H18+H21+H32+H38+H46+H49+H52+H58+H77</f>
        <v>0</v>
      </c>
      <c r="I103" s="14">
        <f>I18+I21+I32+I38+I46+I49+I52+I58+I77</f>
        <v>0</v>
      </c>
      <c r="J103" s="47"/>
      <c r="K103" s="47"/>
      <c r="L103" s="48"/>
    </row>
    <row r="104" spans="2:12" ht="13.5" thickBot="1">
      <c r="B104" s="37" t="s">
        <v>86</v>
      </c>
      <c r="C104" s="89">
        <f>SUM(C101:C103)</f>
        <v>72.66159999999999</v>
      </c>
      <c r="D104" s="90">
        <f>SUM(D101:D103)</f>
        <v>241.16222056878308</v>
      </c>
      <c r="E104" s="27">
        <f aca="true" t="shared" si="0" ref="E104:L104">SUM(E100:E103)</f>
        <v>44.24781509565049</v>
      </c>
      <c r="F104" s="23">
        <f t="shared" si="0"/>
        <v>126.52220436382034</v>
      </c>
      <c r="G104" s="23">
        <f t="shared" si="0"/>
        <v>426.24462556229366</v>
      </c>
      <c r="H104" s="23">
        <f t="shared" si="0"/>
        <v>101.0079106347256</v>
      </c>
      <c r="I104" s="31">
        <f t="shared" si="0"/>
        <v>150.68678436825184</v>
      </c>
      <c r="J104" s="31">
        <f t="shared" si="0"/>
        <v>855.1596</v>
      </c>
      <c r="K104" s="31">
        <f t="shared" si="0"/>
        <v>156.2444</v>
      </c>
      <c r="L104" s="24">
        <f t="shared" si="0"/>
        <v>627.46672</v>
      </c>
    </row>
    <row r="105" spans="2:12" ht="13.5" thickBot="1">
      <c r="B105" s="142" t="s">
        <v>88</v>
      </c>
      <c r="C105" s="143"/>
      <c r="D105" s="144"/>
      <c r="H105" s="63">
        <f>H104/0.7</f>
        <v>144.29701519246515</v>
      </c>
      <c r="I105" s="64">
        <f>I104/0.7</f>
        <v>215.26683481178836</v>
      </c>
      <c r="K105" s="63">
        <f>K104/0.7</f>
        <v>223.20628571428574</v>
      </c>
      <c r="L105" s="64">
        <f>L104/0.7</f>
        <v>896.3810285714286</v>
      </c>
    </row>
    <row r="106" spans="2:12" ht="13.5" thickBot="1">
      <c r="B106" s="142" t="s">
        <v>97</v>
      </c>
      <c r="C106" s="143"/>
      <c r="D106" s="144"/>
      <c r="G106" s="65">
        <f>G104+H104</f>
        <v>527.2525361970193</v>
      </c>
      <c r="H106" s="88"/>
      <c r="I106" s="65">
        <f>H105+I105</f>
        <v>359.5638500042535</v>
      </c>
      <c r="J106" s="65">
        <f>J104+K104</f>
        <v>1011.404</v>
      </c>
      <c r="K106" s="88"/>
      <c r="L106" s="65">
        <f>K105+L105</f>
        <v>1119.5873142857145</v>
      </c>
    </row>
    <row r="107" spans="2:12" ht="13.5" thickBot="1">
      <c r="B107" s="135" t="s">
        <v>95</v>
      </c>
      <c r="C107" s="136"/>
      <c r="D107" s="137"/>
      <c r="G107" s="88"/>
      <c r="H107" s="88"/>
      <c r="I107" s="88"/>
      <c r="J107" s="65">
        <v>1300</v>
      </c>
      <c r="K107" s="88"/>
      <c r="L107" s="79">
        <v>1500</v>
      </c>
    </row>
    <row r="108" spans="2:12" ht="13.5" thickBot="1">
      <c r="B108" s="142" t="s">
        <v>96</v>
      </c>
      <c r="C108" s="143"/>
      <c r="D108" s="144"/>
      <c r="G108" s="88"/>
      <c r="H108" s="88"/>
      <c r="I108" s="88"/>
      <c r="J108" s="65">
        <f>J107-G106-J106</f>
        <v>-238.65653619701925</v>
      </c>
      <c r="K108" s="88"/>
      <c r="L108" s="65">
        <f>L107-I106-L106</f>
        <v>20.848835710032063</v>
      </c>
    </row>
  </sheetData>
  <mergeCells count="10">
    <mergeCell ref="C1:D1"/>
    <mergeCell ref="E1:I1"/>
    <mergeCell ref="G2:I2"/>
    <mergeCell ref="B105:D105"/>
    <mergeCell ref="G98:I98"/>
    <mergeCell ref="J98:L98"/>
    <mergeCell ref="B107:D107"/>
    <mergeCell ref="A98:B99"/>
    <mergeCell ref="B108:D108"/>
    <mergeCell ref="B106:D10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1">
      <selection activeCell="P81" sqref="P81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6</v>
      </c>
      <c r="F1" s="148"/>
      <c r="G1" s="148"/>
      <c r="H1" s="149"/>
      <c r="I1" s="150"/>
    </row>
    <row r="2" spans="1:9" ht="12.75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>
        <v>43.15316580092657</v>
      </c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>
        <v>15.880260118190769</v>
      </c>
      <c r="F60" s="9">
        <v>51.014306316990194</v>
      </c>
      <c r="G60" s="9">
        <v>72.58221537855815</v>
      </c>
      <c r="H60" s="9">
        <v>43.06378483557595</v>
      </c>
      <c r="I60" s="10">
        <v>50.60100850263154</v>
      </c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>
        <v>43.5490664046048</v>
      </c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/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/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/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12" t="s">
        <v>82</v>
      </c>
      <c r="B90" s="12" t="s">
        <v>19</v>
      </c>
      <c r="C90" s="42">
        <v>1700</v>
      </c>
      <c r="D90" s="43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/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80"/>
      <c r="D96" s="81"/>
      <c r="E96" s="25">
        <f>E7+E10+E13+E17+E20+E23+E25+E27+E33+E39+E41+E53+E57+E77+E82+E83+E84+E85+E86+E87+E88+E89+E90</f>
        <v>0</v>
      </c>
      <c r="F96" s="21">
        <f>F7+F10+F13+F17+F20+F23+F25+F27+F33+F39+F41+F53+F57+F77+F82+F83+F84+F85+F86+F87+F88+F89+F90</f>
        <v>0</v>
      </c>
      <c r="G96" s="21">
        <f>G7+G10+G13+G17+G20+G23+G25+G27+G33+G39+G41+G53+G57+G77+G82+G83+G84+G85+G86+G87+G88+G89+G90</f>
        <v>0</v>
      </c>
      <c r="H96" s="21">
        <f>H7+H10+H13+H17+H20+H23+H25+H27+H33+H39+H41+H53+H57+H77+H82+H83+H84+H85+H86+H87+H88+H89+H90</f>
        <v>0</v>
      </c>
      <c r="I96" s="30">
        <f>I7+I10+I13+I17+I20+I23+I25+I27+I33+I39+I41+I53+I57+I77+I82+I83+I84+I85+I86+I87+I88+I89+I90</f>
        <v>0</v>
      </c>
      <c r="J96" s="81"/>
      <c r="K96" s="81"/>
      <c r="L96" s="82"/>
    </row>
    <row r="97" spans="2:12" ht="12.75">
      <c r="B97" s="36" t="s">
        <v>4</v>
      </c>
      <c r="C97" s="8">
        <v>186.5376</v>
      </c>
      <c r="D97" s="9">
        <v>358.03296737213407</v>
      </c>
      <c r="E97" s="26">
        <f>E4+E5+E8+E11+E14+E18+E21+E24+E28+E31+E34+E37+E40+E42+E45+E48+E51+E54+E59+E60+E61+E70+E72+E75+E76+E79+E80</f>
        <v>15.880260118190769</v>
      </c>
      <c r="F97" s="9">
        <f>F4+F5+F8+F11+F14+F18+F21+F24+F28+F31+F34+F37+F40+F42+F45+F48+F51+F54+F59+F60+F61+F70+F72+F75+F76+F79+F80</f>
        <v>137.71653852252155</v>
      </c>
      <c r="G97" s="9">
        <f>G4+G5+G8+G11+G14+G18+G21+G24+G28+G31+G34+G37+G40+G42+G45+G48+G51+G54+G59+G60+G61+G70+G72+G75+G76+G79+G80</f>
        <v>72.58221537855815</v>
      </c>
      <c r="H97" s="9">
        <f>H4+H5+H8+H11+H14+H18+H21+H24+H28+H31+H34+H37+H40+H42+H45+H48+H51+H54+H59+H60+H61+H70+H72+H75+H76+H79+H80</f>
        <v>43.06378483557595</v>
      </c>
      <c r="I97" s="14">
        <f>I4+I5+I8+I11+I14+I18+I21+I24+I28+I31+I34+I37+I40+I42+I45+I48+I51+I54+I59+I60+I61+I70+I72+I75+I76+I79+I80</f>
        <v>50.60100850263154</v>
      </c>
      <c r="J97" s="9">
        <v>958.0656000000001</v>
      </c>
      <c r="K97" s="9">
        <v>817.2784000000001</v>
      </c>
      <c r="L97" s="10">
        <v>2028.2259199999999</v>
      </c>
    </row>
    <row r="98" spans="2:12" ht="12.75">
      <c r="B98" s="36" t="s">
        <v>17</v>
      </c>
      <c r="C98" s="46"/>
      <c r="D98" s="47"/>
      <c r="E98" s="26">
        <f>E6+E9+E12+E15+E22+E26+E29+E32+E35++E38+E43+E46+E49+E52+E55+E58+E62+E63+E64+E65+E66+E67+E68+E71+E73+E78+E91</f>
        <v>0</v>
      </c>
      <c r="F98" s="9">
        <f>F6+F9+F12+F15+F22+F26+F29+F32+F35++F38+F43+F46+F49+F52+F55+F58+F62+F63+F64+F65+F66+F67+F68+F71+F73+F78+F91</f>
        <v>0</v>
      </c>
      <c r="G98" s="9">
        <f>G6+G9+G12+G15+G22+G26+G29+G32+G35++G38+G43+G46+G49+G52+G55+G58+G62+G63+G64+G65+G66+G67+G68+G71+G73+G78+G91</f>
        <v>0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0</v>
      </c>
      <c r="J98" s="47"/>
      <c r="K98" s="47"/>
      <c r="L98" s="48"/>
    </row>
    <row r="99" spans="2:12" ht="12.75">
      <c r="B99" s="36" t="s">
        <v>23</v>
      </c>
      <c r="C99" s="46"/>
      <c r="D99" s="47"/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0</v>
      </c>
      <c r="I99" s="14">
        <f>I16+I19+I30+I36+I44+I47+I50+I56+I74</f>
        <v>0</v>
      </c>
      <c r="J99" s="47"/>
      <c r="K99" s="47"/>
      <c r="L99" s="48"/>
    </row>
    <row r="100" spans="2:12" ht="13.5" thickBot="1">
      <c r="B100" s="37" t="s">
        <v>86</v>
      </c>
      <c r="C100" s="29">
        <f aca="true" t="shared" si="0" ref="C100:L100">SUM(C96:C99)</f>
        <v>186.5376</v>
      </c>
      <c r="D100" s="23">
        <f t="shared" si="0"/>
        <v>358.03296737213407</v>
      </c>
      <c r="E100" s="23">
        <f t="shared" si="0"/>
        <v>15.880260118190769</v>
      </c>
      <c r="F100" s="23">
        <f t="shared" si="0"/>
        <v>137.71653852252155</v>
      </c>
      <c r="G100" s="23">
        <f t="shared" si="0"/>
        <v>72.58221537855815</v>
      </c>
      <c r="H100" s="23">
        <f t="shared" si="0"/>
        <v>43.06378483557595</v>
      </c>
      <c r="I100" s="31">
        <f t="shared" si="0"/>
        <v>50.60100850263154</v>
      </c>
      <c r="J100" s="23">
        <f t="shared" si="0"/>
        <v>958.0656000000001</v>
      </c>
      <c r="K100" s="23">
        <f t="shared" si="0"/>
        <v>817.2784000000001</v>
      </c>
      <c r="L100" s="24">
        <f t="shared" si="0"/>
        <v>2028.2259199999999</v>
      </c>
    </row>
    <row r="101" spans="2:12" ht="13.5" thickBot="1">
      <c r="B101" s="142" t="s">
        <v>88</v>
      </c>
      <c r="C101" s="143"/>
      <c r="D101" s="144"/>
      <c r="H101" s="63">
        <f>H100/0.7</f>
        <v>61.51969262225136</v>
      </c>
      <c r="I101" s="64">
        <f>I100/0.7</f>
        <v>72.28715500375934</v>
      </c>
      <c r="K101" s="63">
        <f>K100/0.7</f>
        <v>1167.5405714285716</v>
      </c>
      <c r="L101" s="64">
        <f>L100/0.7</f>
        <v>2897.4656</v>
      </c>
    </row>
    <row r="102" spans="2:12" ht="13.5" thickBot="1">
      <c r="B102" s="142" t="s">
        <v>97</v>
      </c>
      <c r="C102" s="143"/>
      <c r="D102" s="144"/>
      <c r="G102" s="65">
        <f>G100+H100</f>
        <v>115.64600021413409</v>
      </c>
      <c r="H102" s="88"/>
      <c r="I102" s="65">
        <f>H101+I101</f>
        <v>133.8068476260107</v>
      </c>
      <c r="J102" s="65">
        <f>J100+K100</f>
        <v>1775.3440000000003</v>
      </c>
      <c r="K102" s="88"/>
      <c r="L102" s="65">
        <f>K101+L101</f>
        <v>4065.0061714285716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2023</v>
      </c>
      <c r="K103" s="88"/>
      <c r="L103" s="79">
        <v>3093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132.0099997858656</v>
      </c>
      <c r="K104" s="88"/>
      <c r="L104" s="65">
        <f>L103-I102-L102</f>
        <v>-1105.8130190545821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workbookViewId="0" topLeftCell="A68">
      <selection activeCell="S97" sqref="S97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66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103">
        <v>11.3</v>
      </c>
      <c r="F25" s="104">
        <v>21.4</v>
      </c>
      <c r="G25" s="104">
        <v>175</v>
      </c>
      <c r="H25" s="104">
        <v>53.4</v>
      </c>
      <c r="I25" s="105">
        <v>97.4</v>
      </c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103">
        <v>6.27</v>
      </c>
      <c r="F33" s="104">
        <v>11.9</v>
      </c>
      <c r="G33" s="104">
        <v>97</v>
      </c>
      <c r="H33" s="104">
        <v>29.7</v>
      </c>
      <c r="I33" s="105">
        <v>99.8</v>
      </c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103">
        <v>15</v>
      </c>
      <c r="F39" s="104">
        <v>28.5</v>
      </c>
      <c r="G39" s="104">
        <v>233</v>
      </c>
      <c r="H39" s="104">
        <v>71.2</v>
      </c>
      <c r="I39" s="105">
        <v>95.7</v>
      </c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>
        <v>0.61</v>
      </c>
      <c r="F44" s="9">
        <v>52.9</v>
      </c>
      <c r="G44" s="9"/>
      <c r="H44" s="9">
        <v>19.1</v>
      </c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103">
        <v>14</v>
      </c>
      <c r="F57" s="104">
        <v>26.6</v>
      </c>
      <c r="G57" s="104">
        <v>217</v>
      </c>
      <c r="H57" s="104">
        <v>66.4</v>
      </c>
      <c r="I57" s="105">
        <v>96.2</v>
      </c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/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/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/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103">
        <v>0.51</v>
      </c>
      <c r="F83" s="104">
        <v>0.95</v>
      </c>
      <c r="G83" s="104">
        <v>7.76</v>
      </c>
      <c r="H83" s="104">
        <v>2.37</v>
      </c>
      <c r="I83" s="105">
        <v>102</v>
      </c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>
        <v>2.04</v>
      </c>
      <c r="F86" s="9">
        <v>3.8</v>
      </c>
      <c r="G86" s="9">
        <v>31</v>
      </c>
      <c r="H86" s="9">
        <v>9.49</v>
      </c>
      <c r="I86" s="10">
        <v>102</v>
      </c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>
        <v>2.45</v>
      </c>
      <c r="F88" s="9">
        <v>4.57</v>
      </c>
      <c r="G88" s="9">
        <v>37.3</v>
      </c>
      <c r="H88" s="9">
        <v>11.4</v>
      </c>
      <c r="I88" s="10">
        <v>102</v>
      </c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8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/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7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  <c r="N95" s="99"/>
      <c r="O95" s="99"/>
      <c r="P95" s="99"/>
      <c r="Q95" s="99"/>
    </row>
    <row r="96" spans="1:15" ht="12.75">
      <c r="A96" s="19"/>
      <c r="B96" s="35" t="s">
        <v>19</v>
      </c>
      <c r="C96" s="28">
        <v>0</v>
      </c>
      <c r="D96" s="21">
        <v>29.2</v>
      </c>
      <c r="E96" s="25">
        <f>E7+E10+E13+E17+E20+E23+E25+E27+E33+E39+E41+E53+E57+E77+E82+E83+E84+E85+E86+E87+E88+E89+E90</f>
        <v>51.57</v>
      </c>
      <c r="F96" s="21">
        <f>F7+F10+F13+F17+F20+F23+F25+F27+F33+F39+F41+F53+F57+F77+F82+F83+F84+F85+F86+F87+F88+F89+F90</f>
        <v>97.72</v>
      </c>
      <c r="G96" s="21">
        <f>G7+G10+G13+G17+G20+G23+G25+G27+G33+G39+G41+G53+G57+G77+G82+G83+G84+G85+G86+G87+G88+G89+G90</f>
        <v>798.06</v>
      </c>
      <c r="H96" s="21">
        <f>H7+H10+H13+H17+H20+H23+H25+H27+H33+H39+H41+H53+H57+H77+H82+H83+H84+H85+H86+H87+H88+H89+H90</f>
        <v>243.96000000000004</v>
      </c>
      <c r="I96" s="30">
        <f>I7+I10+I13+I17+I20+I23+I25+I27+I33+I39+I41+I53+I57+I77+I82+I83+I84+I85+I86+I87+I88+I89+I90</f>
        <v>695.0999999999999</v>
      </c>
      <c r="J96" s="21">
        <f>123</f>
        <v>123</v>
      </c>
      <c r="K96" s="21">
        <f>123+76</f>
        <v>199</v>
      </c>
      <c r="L96" s="22">
        <f>115+248</f>
        <v>363</v>
      </c>
      <c r="O96" s="88"/>
    </row>
    <row r="97" spans="2:15" ht="12.75">
      <c r="B97" s="36" t="s">
        <v>4</v>
      </c>
      <c r="C97" s="15"/>
      <c r="D97" s="9"/>
      <c r="E97" s="26">
        <v>154.7</v>
      </c>
      <c r="F97" s="9">
        <f>F4+F5+F8+F11+F14+F18+F21+F24+F28+F31+F34+F37+F40+F42+F45+F48+F51+F54+F59+F60+F61+F70+F72+F75+F76+F79+F80</f>
        <v>0</v>
      </c>
      <c r="G97" s="9">
        <f>G4+G5+G8+G11+G14+G18+G21+G24+G28+G31+G34+G37+G40+G42+G45+G48+G51+G54+G59+G60+G61+G70+G72+G75+G76+G79+G80</f>
        <v>0</v>
      </c>
      <c r="H97" s="9">
        <f>H4+H5+H8+H11+H14+H18+H21+H24+H28+H31+H34+H37+H40+H42+H45+H48+H51+H54+H59+H60+H61+H70+H72+H75+H76+H79+H80</f>
        <v>0</v>
      </c>
      <c r="I97" s="14">
        <f>I4+I5+I8+I11+I14+I18+I21+I24+I28+I31+I34+I37+I40+I42+I45+I48+I51+I54+I59+I60+I61+I70+I72+I75+I76+I79+I80</f>
        <v>0</v>
      </c>
      <c r="J97" s="9">
        <v>67.4</v>
      </c>
      <c r="K97" s="9">
        <v>467.99</v>
      </c>
      <c r="L97" s="10">
        <v>717.56</v>
      </c>
      <c r="O97" s="88"/>
    </row>
    <row r="98" spans="2:12" ht="12.75">
      <c r="B98" s="36" t="s">
        <v>17</v>
      </c>
      <c r="C98" s="8">
        <v>0</v>
      </c>
      <c r="D98" s="9">
        <v>1024</v>
      </c>
      <c r="E98" s="26">
        <f>E6+E9+E12+E15+E22+E26+E29+E32+E35++E38+E43+E46+E49+E52+E55+E58+E62+E63+E64+E65+E66+E67+E68+E71+E73+E78+E91</f>
        <v>0</v>
      </c>
      <c r="F98" s="9">
        <f>F6+F9+F12+F15+F22+F26+F29+F32+F35++F38+F43+F46+F49+F52+F55+F58+F62+F63+F64+F65+F66+F67+F68+F71+F73+F78+F91</f>
        <v>0</v>
      </c>
      <c r="G98" s="9">
        <f>G6+G9+G12+G15+G22+G26+G29+G32+G35++G38+G43+G46+G49+G52+G55+G58+G62+G63+G64+G65+G66+G67+G68+G71+G73+G78+G91</f>
        <v>0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0</v>
      </c>
      <c r="J98" s="9">
        <v>1900</v>
      </c>
      <c r="K98" s="9">
        <v>0</v>
      </c>
      <c r="L98" s="10">
        <v>1050</v>
      </c>
    </row>
    <row r="99" spans="2:17" ht="12.75">
      <c r="B99" s="36" t="s">
        <v>23</v>
      </c>
      <c r="C99" s="8">
        <v>0</v>
      </c>
      <c r="D99" s="47">
        <v>51.2</v>
      </c>
      <c r="E99" s="26">
        <f>E16+E19+E30+E36+E44+E47+E50+E56+E74</f>
        <v>0.61</v>
      </c>
      <c r="F99" s="9">
        <f>F16+F19+F30+F36+F44+F47+F50+F56+F74</f>
        <v>52.9</v>
      </c>
      <c r="G99" s="9">
        <f>G16+G19+G30+G36+G44+G47+G50+G56+G74</f>
        <v>0</v>
      </c>
      <c r="H99" s="9">
        <f>H16+H19+H30+H36+H44+H47+H50+H56+H74</f>
        <v>19.1</v>
      </c>
      <c r="I99" s="14">
        <f>I16+I19+I30+I36+I44+I47+I50+I56+I74</f>
        <v>0</v>
      </c>
      <c r="J99" s="9">
        <v>377</v>
      </c>
      <c r="K99" s="9">
        <v>255</v>
      </c>
      <c r="L99" s="10">
        <v>70</v>
      </c>
      <c r="N99" s="99"/>
      <c r="O99" s="99"/>
      <c r="P99" s="99"/>
      <c r="Q99" s="99"/>
    </row>
    <row r="100" spans="2:15" ht="13.5" thickBot="1">
      <c r="B100" s="37" t="s">
        <v>86</v>
      </c>
      <c r="C100" s="27">
        <f aca="true" t="shared" si="0" ref="C100:L100">SUM(C96:C99)</f>
        <v>0</v>
      </c>
      <c r="D100" s="27">
        <f t="shared" si="0"/>
        <v>1104.4</v>
      </c>
      <c r="E100" s="27">
        <f t="shared" si="0"/>
        <v>206.88</v>
      </c>
      <c r="F100" s="23">
        <f t="shared" si="0"/>
        <v>150.62</v>
      </c>
      <c r="G100" s="23">
        <f t="shared" si="0"/>
        <v>798.06</v>
      </c>
      <c r="H100" s="23">
        <f t="shared" si="0"/>
        <v>263.06000000000006</v>
      </c>
      <c r="I100" s="31">
        <f t="shared" si="0"/>
        <v>695.0999999999999</v>
      </c>
      <c r="J100" s="31">
        <f t="shared" si="0"/>
        <v>2467.4</v>
      </c>
      <c r="K100" s="23">
        <f t="shared" si="0"/>
        <v>921.99</v>
      </c>
      <c r="L100" s="100">
        <f t="shared" si="0"/>
        <v>2200.56</v>
      </c>
      <c r="O100" s="88"/>
    </row>
    <row r="101" spans="2:15" ht="13.5" thickBot="1">
      <c r="B101" s="142" t="s">
        <v>88</v>
      </c>
      <c r="C101" s="143"/>
      <c r="D101" s="144"/>
      <c r="H101" s="63">
        <f>H100/0.7</f>
        <v>375.8000000000001</v>
      </c>
      <c r="I101" s="64">
        <f>I100/0.7</f>
        <v>992.9999999999999</v>
      </c>
      <c r="K101" s="63">
        <f>K100/0.7</f>
        <v>1317.1285714285716</v>
      </c>
      <c r="L101" s="64">
        <f>L100/0.7</f>
        <v>3143.657142857143</v>
      </c>
      <c r="O101" s="88"/>
    </row>
    <row r="102" spans="2:12" ht="13.5" thickBot="1">
      <c r="B102" s="142" t="s">
        <v>97</v>
      </c>
      <c r="C102" s="143"/>
      <c r="D102" s="144"/>
      <c r="G102" s="65">
        <f>G100+H100</f>
        <v>1061.12</v>
      </c>
      <c r="H102" s="88"/>
      <c r="I102" s="65">
        <f>H101+I101</f>
        <v>1368.8</v>
      </c>
      <c r="J102" s="65">
        <f>J100+K100</f>
        <v>3389.3900000000003</v>
      </c>
      <c r="K102" s="88"/>
      <c r="L102" s="65">
        <f>K101+L101</f>
        <v>4460.785714285715</v>
      </c>
    </row>
    <row r="103" spans="2:17" ht="13.5" thickBot="1">
      <c r="B103" s="135" t="s">
        <v>95</v>
      </c>
      <c r="C103" s="136"/>
      <c r="D103" s="137"/>
      <c r="G103" s="88"/>
      <c r="H103" s="88"/>
      <c r="I103" s="88"/>
      <c r="J103" s="65">
        <v>3400</v>
      </c>
      <c r="K103" s="88"/>
      <c r="L103" s="79">
        <v>4200</v>
      </c>
      <c r="N103" s="99"/>
      <c r="O103" s="99"/>
      <c r="P103" s="99"/>
      <c r="Q103" s="99"/>
    </row>
    <row r="104" spans="2:15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-1050.5100000000002</v>
      </c>
      <c r="K104" s="88"/>
      <c r="L104" s="65">
        <f>L103-I102-L102</f>
        <v>-1629.5857142857149</v>
      </c>
      <c r="O104" s="88"/>
    </row>
    <row r="105" ht="12.75">
      <c r="O105" s="88"/>
    </row>
    <row r="107" spans="14:17" ht="12.75">
      <c r="N107" s="99"/>
      <c r="O107" s="99"/>
      <c r="P107" s="99"/>
      <c r="Q107" s="99"/>
    </row>
    <row r="108" ht="12.75">
      <c r="O108" s="88"/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0">
      <selection activeCell="Q95" sqref="Q95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7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>
        <v>9</v>
      </c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>
        <v>6</v>
      </c>
      <c r="F9" s="9">
        <v>10</v>
      </c>
      <c r="G9" s="9">
        <v>242</v>
      </c>
      <c r="H9" s="9"/>
      <c r="I9" s="10">
        <v>29</v>
      </c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>
        <v>4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>
        <v>3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>
        <v>4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>
        <v>3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>
        <v>27.6</v>
      </c>
      <c r="F27" s="9">
        <v>52.3</v>
      </c>
      <c r="G27" s="9">
        <v>427</v>
      </c>
      <c r="H27" s="9">
        <v>130</v>
      </c>
      <c r="I27" s="10">
        <v>89.8</v>
      </c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>
        <v>12.020549155906666</v>
      </c>
      <c r="F28" s="9">
        <v>51.014306316990194</v>
      </c>
      <c r="G28" s="9">
        <v>54.94104512829377</v>
      </c>
      <c r="H28" s="9">
        <v>32.597094669907996</v>
      </c>
      <c r="I28" s="10">
        <v>38.30238960302569</v>
      </c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>
        <v>7</v>
      </c>
      <c r="F29" s="9">
        <v>94</v>
      </c>
      <c r="G29" s="9">
        <v>300</v>
      </c>
      <c r="H29" s="9"/>
      <c r="I29" s="10">
        <v>36</v>
      </c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>
        <v>0.37</v>
      </c>
      <c r="F30" s="9"/>
      <c r="G30" s="9"/>
      <c r="H30" s="9">
        <v>11.6</v>
      </c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>
        <v>4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>
        <v>1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>
        <v>1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>
        <v>0.99</v>
      </c>
      <c r="F43" s="9">
        <v>23</v>
      </c>
      <c r="G43" s="9">
        <v>38</v>
      </c>
      <c r="H43" s="9"/>
      <c r="I43" s="10">
        <v>5</v>
      </c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>
        <v>5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>
        <v>4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>
        <v>1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>
        <v>4</v>
      </c>
      <c r="F55" s="9">
        <v>3</v>
      </c>
      <c r="G55" s="9">
        <v>150</v>
      </c>
      <c r="H55" s="9"/>
      <c r="I55" s="10">
        <v>18</v>
      </c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>
        <v>2</v>
      </c>
      <c r="F58" s="9">
        <v>2</v>
      </c>
      <c r="G58" s="9">
        <v>85</v>
      </c>
      <c r="H58" s="9"/>
      <c r="I58" s="10">
        <v>11</v>
      </c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>
        <v>4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>
        <v>4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>
        <v>4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>
        <v>4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>
        <v>4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>
        <v>4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>
        <v>4</v>
      </c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>
        <v>13</v>
      </c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>
        <v>1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>
        <v>1</v>
      </c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8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>
        <v>4</v>
      </c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28">
        <v>34.6</v>
      </c>
      <c r="D96" s="21">
        <v>15</v>
      </c>
      <c r="E96" s="25">
        <f>E7+E10+E13+E17+E20+E23+E25+E27+E33+E39+E41+E53+E57+E77+E82+E83+E84+E85+E86+E87+E88+E89+E90</f>
        <v>27.6</v>
      </c>
      <c r="F96" s="21">
        <f>F7+F10+F13+F17+F20+F23+F25+F27+F33+F39+F41+F53+F57+F77+F82+F83+F84+F85+F86+F87+F88+F89+F90</f>
        <v>52.3</v>
      </c>
      <c r="G96" s="21">
        <f>G7+G10+G13+G17+G20+G23+G25+G27+G33+G39+G41+G53+G57+G77+G82+G83+G84+G85+G86+G87+G88+G89+G90</f>
        <v>427</v>
      </c>
      <c r="H96" s="21">
        <f>H7+H10+H13+H17+H20+H23+H25+H27+H33+H39+H41+H53+H57+H77+H82+H83+H84+H85+H86+H87+H88+H89+H90</f>
        <v>130</v>
      </c>
      <c r="I96" s="30">
        <f>I7+I10+I13+I17+I20+I23+I25+I27+I33+I39+I41+I53+I57+I77+I82+I83+I84+I85+I86+I87+I88+I89+I90</f>
        <v>89.8</v>
      </c>
      <c r="J96" s="21">
        <f>47.7+304</f>
        <v>351.7</v>
      </c>
      <c r="K96" s="21">
        <f>47.7+39.5</f>
        <v>87.2</v>
      </c>
      <c r="L96" s="22">
        <f>54.5+248</f>
        <v>302.5</v>
      </c>
    </row>
    <row r="97" spans="2:12" ht="12.75">
      <c r="B97" s="36" t="s">
        <v>4</v>
      </c>
      <c r="C97" s="8">
        <v>106.9848</v>
      </c>
      <c r="D97" s="9">
        <v>303.3760791446208</v>
      </c>
      <c r="E97" s="26">
        <f>E4+E5+E8+E11+E14+E18+E21+E24+E28+E31+E34+E37+E40+E42+E45+E48+E51+E54+E59+E60+E61+E70+E72+E75+E76+E79+E80</f>
        <v>12.020549155906666</v>
      </c>
      <c r="F97" s="9">
        <f>F4+F5+F8+F11+F14+F18+F21+F24+F28+F31+F34+F37+F40+F42+F45+F48+F51+F54+F59+F60+F61+F70+F72+F75+F76+F79+F80</f>
        <v>51.014306316990194</v>
      </c>
      <c r="G97" s="9">
        <f>G4+G5+G8+G11+G14+G18+G21+G24+G28+G31+G34+G37+G40+G42+G45+G48+G51+G54+G59+G60+G61+G70+G72+G75+G76+G79+G80</f>
        <v>54.94104512829377</v>
      </c>
      <c r="H97" s="9">
        <f>H4+H5+H8+H11+H14+H18+H21+H24+H28+H31+H34+H37+H40+H42+H45+H48+H51+H54+H59+H60+H61+H70+H72+H75+H76+H79+H80</f>
        <v>32.597094669907996</v>
      </c>
      <c r="I97" s="14">
        <f>I4+I5+I8+I11+I14+I18+I21+I24+I28+I31+I34+I37+I40+I42+I45+I48+I51+I54+I59+I60+I61+I70+I72+I75+I76+I79+I80</f>
        <v>38.30238960302569</v>
      </c>
      <c r="J97" s="9">
        <v>549.4788000000001</v>
      </c>
      <c r="K97" s="9">
        <v>468.73320000000007</v>
      </c>
      <c r="L97" s="10">
        <v>604.40016</v>
      </c>
    </row>
    <row r="98" spans="2:12" ht="12.75">
      <c r="B98" s="36" t="s">
        <v>17</v>
      </c>
      <c r="C98" s="8">
        <v>55</v>
      </c>
      <c r="D98" s="9">
        <v>178</v>
      </c>
      <c r="E98" s="26">
        <f>E6+E9+E12+E15+E22+E26+E29+E32+E35++E38+E43+E46+E49+E52+E55+E58+E62+E63+E64+E65+E66+E67+E68+E71+E73+E78+E91</f>
        <v>19.990000000000002</v>
      </c>
      <c r="F98" s="9">
        <f>F6+F9+F12+F15+F22+F26+F29+F32+F35++F38+F43+F46+F49+F52+F55+F58+F62+F63+F64+F65+F66+F67+F68+F71+F73+F78+F91</f>
        <v>218</v>
      </c>
      <c r="G98" s="9">
        <f>G6+G9+G12+G15+G22+G26+G29+G32+G35++G38+G43+G46+G49+G52+G55+G58+G62+G63+G64+G65+G66+G67+G68+G71+G73+G78+G91</f>
        <v>815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99</v>
      </c>
      <c r="J98" s="9">
        <v>1008</v>
      </c>
      <c r="K98" s="9">
        <v>0</v>
      </c>
      <c r="L98" s="10">
        <v>544</v>
      </c>
    </row>
    <row r="99" spans="2:12" ht="12.75">
      <c r="B99" s="36" t="s">
        <v>23</v>
      </c>
      <c r="C99" s="46">
        <v>18.1</v>
      </c>
      <c r="D99" s="47">
        <v>87.4</v>
      </c>
      <c r="E99" s="26">
        <f>E16+E19+E30+E36+E44+E47+E50+E56+E74</f>
        <v>0.37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11.6</v>
      </c>
      <c r="I99" s="14">
        <f>I16+I19+I30+I36+I44+I47+I50+I56+I74</f>
        <v>0</v>
      </c>
      <c r="J99" s="47">
        <v>243</v>
      </c>
      <c r="K99" s="47">
        <v>26</v>
      </c>
      <c r="L99" s="48">
        <v>189</v>
      </c>
    </row>
    <row r="100" spans="2:12" ht="13.5" thickBot="1">
      <c r="B100" s="37" t="s">
        <v>86</v>
      </c>
      <c r="C100" s="27">
        <f aca="true" t="shared" si="0" ref="C100:L100">SUM(C96:C99)</f>
        <v>214.6848</v>
      </c>
      <c r="D100" s="27">
        <f t="shared" si="0"/>
        <v>583.7760791446208</v>
      </c>
      <c r="E100" s="27">
        <f t="shared" si="0"/>
        <v>59.980549155906665</v>
      </c>
      <c r="F100" s="23">
        <f t="shared" si="0"/>
        <v>321.31430631699016</v>
      </c>
      <c r="G100" s="23">
        <f t="shared" si="0"/>
        <v>1296.9410451282938</v>
      </c>
      <c r="H100" s="23">
        <f t="shared" si="0"/>
        <v>174.19709466990798</v>
      </c>
      <c r="I100" s="31">
        <f t="shared" si="0"/>
        <v>227.1023896030257</v>
      </c>
      <c r="J100" s="23">
        <f t="shared" si="0"/>
        <v>2152.1788</v>
      </c>
      <c r="K100" s="23">
        <f t="shared" si="0"/>
        <v>581.9332</v>
      </c>
      <c r="L100" s="24">
        <f t="shared" si="0"/>
        <v>1639.9001600000001</v>
      </c>
    </row>
    <row r="101" spans="2:12" ht="13.5" thickBot="1">
      <c r="B101" s="142" t="s">
        <v>88</v>
      </c>
      <c r="C101" s="143"/>
      <c r="D101" s="144"/>
      <c r="H101" s="63">
        <f>H100/0.7</f>
        <v>248.85299238558284</v>
      </c>
      <c r="I101" s="64">
        <f>I100/0.7</f>
        <v>324.4319851471796</v>
      </c>
      <c r="K101" s="63">
        <f>K100/0.7</f>
        <v>831.333142857143</v>
      </c>
      <c r="L101" s="64">
        <f>L100/0.7</f>
        <v>2342.714514285715</v>
      </c>
    </row>
    <row r="102" spans="2:12" ht="13.5" thickBot="1">
      <c r="B102" s="142" t="s">
        <v>97</v>
      </c>
      <c r="C102" s="143"/>
      <c r="D102" s="144"/>
      <c r="G102" s="65">
        <f>G100+H100</f>
        <v>1471.1381397982018</v>
      </c>
      <c r="H102" s="88"/>
      <c r="I102" s="65">
        <f>H101+I101</f>
        <v>573.2849775327625</v>
      </c>
      <c r="J102" s="65">
        <f>J100+K100</f>
        <v>2734.112</v>
      </c>
      <c r="K102" s="88"/>
      <c r="L102" s="65">
        <f>K101+L101</f>
        <v>3174.047657142858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2100</v>
      </c>
      <c r="K103" s="88"/>
      <c r="L103" s="79">
        <v>2500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-2105.250139798202</v>
      </c>
      <c r="K104" s="88"/>
      <c r="L104" s="65">
        <f>L103-I102-L102</f>
        <v>-1247.3326346756205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0">
      <selection activeCell="P98" sqref="P98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8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>
        <v>7</v>
      </c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>
        <v>9</v>
      </c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>
        <v>8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>
        <v>6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>
        <v>9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>
        <v>7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>
        <v>24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>
        <v>9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>
        <v>1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>
        <v>2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/>
      <c r="F43" s="9">
        <v>20</v>
      </c>
      <c r="G43" s="9"/>
      <c r="H43" s="9"/>
      <c r="I43" s="10"/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>
        <v>12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>
        <v>4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>
        <v>2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>
        <v>5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>
        <v>2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>
        <v>7</v>
      </c>
      <c r="F62" s="9">
        <v>38</v>
      </c>
      <c r="G62" s="9">
        <v>287</v>
      </c>
      <c r="H62" s="9"/>
      <c r="I62" s="10">
        <v>35</v>
      </c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>
        <v>7</v>
      </c>
      <c r="F63" s="9">
        <v>38</v>
      </c>
      <c r="G63" s="9">
        <v>287</v>
      </c>
      <c r="H63" s="9"/>
      <c r="I63" s="10">
        <v>35</v>
      </c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>
        <v>7</v>
      </c>
      <c r="F64" s="9">
        <v>38</v>
      </c>
      <c r="G64" s="9">
        <v>287</v>
      </c>
      <c r="H64" s="9"/>
      <c r="I64" s="10">
        <v>35</v>
      </c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>
        <v>7</v>
      </c>
      <c r="F65" s="9">
        <v>38</v>
      </c>
      <c r="G65" s="9">
        <v>287</v>
      </c>
      <c r="H65" s="9"/>
      <c r="I65" s="10">
        <v>35</v>
      </c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>
        <v>7</v>
      </c>
      <c r="F66" s="9">
        <v>38</v>
      </c>
      <c r="G66" s="9">
        <v>287</v>
      </c>
      <c r="H66" s="9"/>
      <c r="I66" s="10">
        <v>35</v>
      </c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>
        <v>7</v>
      </c>
      <c r="F67" s="9">
        <v>38</v>
      </c>
      <c r="G67" s="9">
        <v>287</v>
      </c>
      <c r="H67" s="9"/>
      <c r="I67" s="10">
        <v>35</v>
      </c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>
        <v>7</v>
      </c>
      <c r="F68" s="9">
        <v>38</v>
      </c>
      <c r="G68" s="9">
        <v>287</v>
      </c>
      <c r="H68" s="9"/>
      <c r="I68" s="10">
        <v>35</v>
      </c>
    </row>
    <row r="69" spans="1:9" ht="12.75">
      <c r="A69" s="70"/>
      <c r="B69" s="66"/>
      <c r="C69" s="67"/>
      <c r="D69" s="71"/>
      <c r="E69" s="13">
        <v>7</v>
      </c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46"/>
      <c r="F71" s="47">
        <v>12</v>
      </c>
      <c r="G71" s="47"/>
      <c r="H71" s="47"/>
      <c r="I71" s="48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>
        <v>5</v>
      </c>
      <c r="F73" s="9">
        <v>6</v>
      </c>
      <c r="G73" s="9">
        <v>206</v>
      </c>
      <c r="H73" s="9"/>
      <c r="I73" s="10">
        <v>25</v>
      </c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47">
        <v>1</v>
      </c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8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>
        <v>3</v>
      </c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80"/>
      <c r="D96" s="81"/>
      <c r="E96" s="25">
        <f>E7+E10+E13+E17+E20+E23+E25+E27+E33+E39+E41+E53+E57+E77+E82+E83+E84+E85+E86+E87+E88+E89+E90</f>
        <v>0</v>
      </c>
      <c r="F96" s="21">
        <f>F7+F10+F13+F17+F20+F23+F25+F27+F33+F39+F41+F53+F57+F77+F82+F83+F84+F85+F86+F87+F88+F89+F90</f>
        <v>0</v>
      </c>
      <c r="G96" s="21">
        <f>G7+G10+G13+G17+G20+G23+G25+G27+G33+G39+G41+G53+G57+G77+G82+G83+G84+G85+G86+G87+G88+G89+G90</f>
        <v>0</v>
      </c>
      <c r="H96" s="21">
        <f>H7+H10+H13+H17+H20+H23+H25+H27+H33+H39+H41+H53+H57+H77+H82+H83+H84+H85+H86+H87+H88+H89+H90</f>
        <v>0</v>
      </c>
      <c r="I96" s="30">
        <f>I7+I10+I13+I17+I20+I23+I25+I27+I33+I39+I41+I53+I57+I77+I82+I83+I84+I85+I86+I87+I88+I89+I90</f>
        <v>0</v>
      </c>
      <c r="J96" s="81"/>
      <c r="K96" s="81"/>
      <c r="L96" s="82"/>
    </row>
    <row r="97" spans="2:12" ht="12.75">
      <c r="B97" s="36" t="s">
        <v>4</v>
      </c>
      <c r="C97" s="46"/>
      <c r="D97" s="47"/>
      <c r="E97" s="26">
        <f>E4+E5+E8+E11+E14+E18+E21+E24+E28+E31+E34+E37+E40+E42+E45+E48+E51+E54+E59+E60+E61+E70+E72+E75+E76+E79+E80</f>
        <v>0</v>
      </c>
      <c r="F97" s="9">
        <f>F4+F5+F8+F11+F14+F18+F21+F24+F28+F31+F34+F37+F40+F42+F45+F48+F51+F54+F59+F60+F61+F70+F72+F75+F76+F79+F80</f>
        <v>0</v>
      </c>
      <c r="G97" s="9">
        <f>G4+G5+G8+G11+G14+G18+G21+G24+G28+G31+G34+G37+G40+G42+G45+G48+G51+G54+G59+G60+G61+G70+G72+G75+G76+G79+G80</f>
        <v>0</v>
      </c>
      <c r="H97" s="9">
        <f>H4+H5+H8+H11+H14+H18+H21+H24+H28+H31+H34+H37+H40+H42+H45+H48+H51+H54+H59+H60+H61+H70+H72+H75+H76+H79+H80</f>
        <v>0</v>
      </c>
      <c r="I97" s="14">
        <f>I4+I5+I8+I11+I14+I18+I21+I24+I28+I31+I34+I37+I40+I42+I45+I48+I51+I54+I59+I60+I61+I70+I72+I75+I76+I79+I80</f>
        <v>0</v>
      </c>
      <c r="J97" s="47"/>
      <c r="K97" s="47"/>
      <c r="L97" s="48"/>
    </row>
    <row r="98" spans="2:12" ht="12.75">
      <c r="B98" s="36" t="s">
        <v>17</v>
      </c>
      <c r="C98" s="8">
        <v>110</v>
      </c>
      <c r="D98" s="9">
        <v>417</v>
      </c>
      <c r="E98" s="26">
        <f>E6+E9+E12+E15+E22+E26+E29+E32+E35++E38+E43+E46+E49+E52+E55+E58+E62+E63+E64+E65+E66+E67+E68+E71+E73+E78+E91</f>
        <v>54</v>
      </c>
      <c r="F98" s="9">
        <f>F6+F9+F12+F15+F22+F26+F29+F32+F35++F38+F43+F46+F49+F52+F55+F58+F62+F63+F64+F65+F66+F67+F68+F71+F73+F78+F91</f>
        <v>415</v>
      </c>
      <c r="G98" s="9">
        <f>G6+G9+G12+G15+G22+G26+G29+G32+G35++G38+G43+G46+G49+G52+G55+G58+G62+G63+G64+G65+G66+G67+G68+G71+G73+G78+G91</f>
        <v>2215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270</v>
      </c>
      <c r="J98" s="9">
        <v>2016</v>
      </c>
      <c r="K98" s="9">
        <v>0</v>
      </c>
      <c r="L98" s="10">
        <v>879</v>
      </c>
    </row>
    <row r="99" spans="2:12" ht="12.75">
      <c r="B99" s="36" t="s">
        <v>23</v>
      </c>
      <c r="C99" s="46"/>
      <c r="D99" s="47"/>
      <c r="E99" s="26">
        <f>E16+E19+E30+E36+E44+E47+E50+E56+E74</f>
        <v>0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0</v>
      </c>
      <c r="I99" s="14">
        <f>I16+I19+I30+I36+I44+I47+I50+I56+I74</f>
        <v>0</v>
      </c>
      <c r="J99" s="47"/>
      <c r="K99" s="47"/>
      <c r="L99" s="48"/>
    </row>
    <row r="100" spans="2:12" ht="13.5" thickBot="1">
      <c r="B100" s="37" t="s">
        <v>86</v>
      </c>
      <c r="C100" s="27">
        <f aca="true" t="shared" si="0" ref="C100:L100">SUM(C96:C99)</f>
        <v>110</v>
      </c>
      <c r="D100" s="27">
        <f t="shared" si="0"/>
        <v>417</v>
      </c>
      <c r="E100" s="27">
        <f t="shared" si="0"/>
        <v>54</v>
      </c>
      <c r="F100" s="23">
        <f t="shared" si="0"/>
        <v>415</v>
      </c>
      <c r="G100" s="23">
        <f t="shared" si="0"/>
        <v>2215</v>
      </c>
      <c r="H100" s="23">
        <f t="shared" si="0"/>
        <v>0</v>
      </c>
      <c r="I100" s="31">
        <f t="shared" si="0"/>
        <v>270</v>
      </c>
      <c r="J100" s="23">
        <f t="shared" si="0"/>
        <v>2016</v>
      </c>
      <c r="K100" s="23">
        <f t="shared" si="0"/>
        <v>0</v>
      </c>
      <c r="L100" s="100">
        <f t="shared" si="0"/>
        <v>879</v>
      </c>
    </row>
    <row r="101" spans="2:12" ht="13.5" thickBot="1">
      <c r="B101" s="142" t="s">
        <v>88</v>
      </c>
      <c r="C101" s="143"/>
      <c r="D101" s="144"/>
      <c r="H101" s="63">
        <f>H100/0.7</f>
        <v>0</v>
      </c>
      <c r="I101" s="64">
        <f>I100/0.7</f>
        <v>385.7142857142857</v>
      </c>
      <c r="K101" s="63">
        <f>K100/0.7</f>
        <v>0</v>
      </c>
      <c r="L101" s="64">
        <f>L100/0.7</f>
        <v>1255.7142857142858</v>
      </c>
    </row>
    <row r="102" spans="2:12" ht="13.5" thickBot="1">
      <c r="B102" s="142" t="s">
        <v>97</v>
      </c>
      <c r="C102" s="143"/>
      <c r="D102" s="144"/>
      <c r="G102" s="65">
        <f>G100+H100</f>
        <v>2215</v>
      </c>
      <c r="H102" s="88"/>
      <c r="I102" s="65">
        <f>H101+I101</f>
        <v>385.7142857142857</v>
      </c>
      <c r="J102" s="65">
        <f>J100+K100</f>
        <v>2016</v>
      </c>
      <c r="K102" s="88"/>
      <c r="L102" s="65">
        <f>K101+L101</f>
        <v>1255.7142857142858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4700</v>
      </c>
      <c r="K103" s="88"/>
      <c r="L103" s="79">
        <v>1986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469</v>
      </c>
      <c r="K104" s="88"/>
      <c r="L104" s="65">
        <f>L103-I102-L102</f>
        <v>344.57142857142844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5">
      <selection activeCell="P97" sqref="P97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9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/>
      <c r="F6" s="9">
        <v>8</v>
      </c>
      <c r="G6" s="9"/>
      <c r="H6" s="9"/>
      <c r="I6" s="10"/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>
        <v>5.01</v>
      </c>
      <c r="F7" s="9">
        <v>9.5</v>
      </c>
      <c r="G7" s="9">
        <v>77.6</v>
      </c>
      <c r="H7" s="9">
        <v>23.7</v>
      </c>
      <c r="I7" s="10">
        <v>100</v>
      </c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13"/>
      <c r="F8" s="9">
        <v>31.672048294258037</v>
      </c>
      <c r="G8" s="5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>
        <v>8.96</v>
      </c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/>
      <c r="F11" s="9"/>
      <c r="G11" s="59"/>
      <c r="H11" s="9"/>
      <c r="I11" s="10"/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/>
      <c r="F12" s="9">
        <v>3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/>
      <c r="F15" s="9">
        <v>2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>
        <v>27.71304225747578</v>
      </c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>
        <v>6</v>
      </c>
      <c r="F22" s="9">
        <v>32</v>
      </c>
      <c r="G22" s="9">
        <v>242</v>
      </c>
      <c r="H22" s="9"/>
      <c r="I22" s="10">
        <v>29</v>
      </c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>
        <v>16.5</v>
      </c>
      <c r="F23" s="9">
        <v>31.4</v>
      </c>
      <c r="G23" s="9">
        <v>256</v>
      </c>
      <c r="H23" s="9">
        <v>78.3</v>
      </c>
      <c r="I23" s="10">
        <v>95</v>
      </c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>
        <v>13.143900042117085</v>
      </c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>
        <v>2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>
        <v>8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>
        <v>3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>
        <v>4.191368145389823</v>
      </c>
      <c r="F34" s="9">
        <v>1.3225931267367828</v>
      </c>
      <c r="G34" s="9">
        <v>19.15704045118446</v>
      </c>
      <c r="H34" s="9">
        <v>11.366071754265334</v>
      </c>
      <c r="I34" s="10">
        <v>13.355414431756325</v>
      </c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>
        <v>3</v>
      </c>
      <c r="F35" s="9">
        <v>1</v>
      </c>
      <c r="G35" s="9">
        <v>108</v>
      </c>
      <c r="H35" s="9"/>
      <c r="I35" s="10">
        <v>13</v>
      </c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>
        <v>0.08</v>
      </c>
      <c r="F36" s="9"/>
      <c r="G36" s="9"/>
      <c r="H36" s="9">
        <v>2.4</v>
      </c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>
        <v>1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>
        <v>33.1</v>
      </c>
      <c r="F41" s="9">
        <v>62.7</v>
      </c>
      <c r="G41" s="9">
        <v>512</v>
      </c>
      <c r="H41" s="9">
        <v>156</v>
      </c>
      <c r="I41" s="10">
        <v>87.3</v>
      </c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>
        <v>1</v>
      </c>
      <c r="F43" s="9">
        <v>21</v>
      </c>
      <c r="G43" s="9">
        <v>38</v>
      </c>
      <c r="H43" s="9"/>
      <c r="I43" s="10">
        <v>5</v>
      </c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>
        <v>4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>
        <v>7.324161168047171</v>
      </c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>
        <v>1</v>
      </c>
      <c r="F49" s="9">
        <v>4</v>
      </c>
      <c r="G49" s="9">
        <v>38</v>
      </c>
      <c r="H49" s="9"/>
      <c r="I49" s="10">
        <v>5</v>
      </c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>
        <v>0</v>
      </c>
      <c r="F50" s="9">
        <v>52.9</v>
      </c>
      <c r="G50" s="9"/>
      <c r="H50" s="9">
        <v>4.3</v>
      </c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>
        <v>1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>
        <v>2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>
        <v>2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>
        <v>3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>
        <v>3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>
        <v>3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>
        <v>3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>
        <v>3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>
        <v>3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>
        <v>3</v>
      </c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8"/>
      <c r="F71" s="9">
        <v>12</v>
      </c>
      <c r="G71" s="9"/>
      <c r="H71" s="9"/>
      <c r="I71" s="10"/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>
        <v>1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8">
        <v>4</v>
      </c>
      <c r="F78" s="9">
        <v>1</v>
      </c>
      <c r="G78" s="9">
        <v>166</v>
      </c>
      <c r="H78" s="9"/>
      <c r="I78" s="10">
        <v>20</v>
      </c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>
        <v>3.38</v>
      </c>
      <c r="F89" s="9">
        <v>6.27</v>
      </c>
      <c r="G89" s="9">
        <v>52.9</v>
      </c>
      <c r="H89" s="9">
        <v>16.2</v>
      </c>
      <c r="I89" s="10">
        <v>101</v>
      </c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>
        <v>3</v>
      </c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28">
        <v>60</v>
      </c>
      <c r="D96" s="21">
        <v>32.1</v>
      </c>
      <c r="E96" s="25">
        <f>E7+E10+E13+E17+E20+E23+E25+E27+E33+E39+E41+E53+E57+E77+E82+E83+E84+E85+E86+E87+E88+E89+E90</f>
        <v>57.99</v>
      </c>
      <c r="F96" s="21">
        <f>F7+F10+F13+F17+F20+F23+F25+F27+F33+F39+F41+F53+F57+F77+F82+F83+F84+F85+F86+F87+F88+F89+F90</f>
        <v>109.86999999999999</v>
      </c>
      <c r="G96" s="21">
        <f>G7+G10+G13+G17+G20+G23+G25+G27+G33+G39+G41+G53+G57+G77+G82+G83+G84+G85+G86+G87+G88+G89+G90</f>
        <v>898.5</v>
      </c>
      <c r="H96" s="21">
        <f>H7+H10+H13+H17+H20+H23+H25+H27+H33+H39+H41+H53+H57+H77+H82+H83+H84+H85+H86+H87+H88+H89+H90</f>
        <v>274.2</v>
      </c>
      <c r="I96" s="30">
        <f>I7+I10+I13+I17+I20+I23+I25+I27+I33+I39+I41+I53+I57+I77+I82+I83+I84+I85+I86+I87+I88+I89+I90</f>
        <v>383.3</v>
      </c>
      <c r="J96" s="21">
        <f>114+989</f>
        <v>1103</v>
      </c>
      <c r="K96" s="21">
        <f>114+128</f>
        <v>242</v>
      </c>
      <c r="L96" s="22">
        <f>99.1+248</f>
        <v>347.1</v>
      </c>
    </row>
    <row r="97" spans="2:12" ht="12.75">
      <c r="B97" s="36" t="s">
        <v>4</v>
      </c>
      <c r="C97" s="8">
        <v>63.779399999999995</v>
      </c>
      <c r="D97" s="9">
        <v>121.67867655974425</v>
      </c>
      <c r="E97" s="26">
        <f>E4+E5+E8+E11+E14+E18+E21+E24+E28+E31+E34+E37+E40+E42+E45+E48+E51+E54+E59+E60+E61+E70+E72+E75+E76+E79+E80</f>
        <v>4.191368145389823</v>
      </c>
      <c r="F97" s="9">
        <f>F4+F5+F8+F11+F14+F18+F21+F24+F28+F31+F34+F37+F40+F42+F45+F48+F51+F54+F59+F60+F61+F70+F72+F75+F76+F79+F80</f>
        <v>81.17574488863485</v>
      </c>
      <c r="G97" s="9">
        <f>G4+G5+G8+G11+G14+G18+G21+G24+G28+G31+G34+G37+G40+G42+G45+G48+G51+G54+G59+G60+G61+G70+G72+G75+G76+G79+G80</f>
        <v>19.15704045118446</v>
      </c>
      <c r="H97" s="9">
        <f>H4+H5+H8+H11+H14+H18+H21+H24+H28+H31+H34+H37+H40+H42+H45+H48+H51+H54+H59+H60+H61+H70+H72+H75+H76+H79+H80</f>
        <v>11.366071754265334</v>
      </c>
      <c r="I97" s="14">
        <f>I4+I5+I8+I11+I14+I18+I21+I24+I28+I31+I34+I37+I40+I42+I45+I48+I51+I54+I59+I60+I61+I70+I72+I75+I76+I79+I80</f>
        <v>13.355414431756325</v>
      </c>
      <c r="J97" s="9">
        <v>327.5739</v>
      </c>
      <c r="K97" s="9">
        <v>279.4371</v>
      </c>
      <c r="L97" s="10">
        <v>360.31548</v>
      </c>
    </row>
    <row r="98" spans="2:12" ht="12.75">
      <c r="B98" s="36" t="s">
        <v>17</v>
      </c>
      <c r="C98" s="8">
        <v>37</v>
      </c>
      <c r="D98" s="9">
        <v>153</v>
      </c>
      <c r="E98" s="26">
        <f>E6+E9+E12+E15+E22+E26+E29+E32+E35++E38+E43+E46+E49+E52+E55+E58+E62+E63+E64+E65+E66+E67+E68+E71+E73+E78+E91</f>
        <v>15</v>
      </c>
      <c r="F98" s="9">
        <f>F6+F9+F12+F15+F22+F26+F29+F32+F35++F38+F43+F46+F49+F52+F55+F58+F62+F63+F64+F65+F66+F67+F68+F71+F73+F78+F91</f>
        <v>140.96</v>
      </c>
      <c r="G98" s="9">
        <f>G6+G9+G12+G15+G22+G26+G29+G32+G35++G38+G43+G46+G49+G52+G55+G58+G62+G63+G64+G65+G66+G67+G68+G71+G73+G78+G91</f>
        <v>592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72</v>
      </c>
      <c r="J98" s="9">
        <v>672</v>
      </c>
      <c r="K98" s="9">
        <v>0</v>
      </c>
      <c r="L98" s="10">
        <v>436</v>
      </c>
    </row>
    <row r="99" spans="2:12" ht="12.75">
      <c r="B99" s="36" t="s">
        <v>23</v>
      </c>
      <c r="C99" s="46">
        <v>18.5</v>
      </c>
      <c r="D99" s="47">
        <v>88.8</v>
      </c>
      <c r="E99" s="26">
        <f>E16+E19+E30+E36+E44+E47+E50+E56+E74</f>
        <v>0.08</v>
      </c>
      <c r="F99" s="9">
        <f>F16+F19+F30+F36+F44+F47+F50+F56+F74</f>
        <v>52.9</v>
      </c>
      <c r="G99" s="9">
        <f>G16+G19+G30+G36+G44+G47+G50+G56+G74</f>
        <v>0</v>
      </c>
      <c r="H99" s="9">
        <f>H16+H19+H30+H36+H44+H47+H50+H56+H74</f>
        <v>6.699999999999999</v>
      </c>
      <c r="I99" s="14">
        <f>I16+I19+I30+I36+I44+I47+I50+I56+I74</f>
        <v>0</v>
      </c>
      <c r="J99" s="47">
        <v>261</v>
      </c>
      <c r="K99" s="47">
        <v>27</v>
      </c>
      <c r="L99" s="48">
        <v>198</v>
      </c>
    </row>
    <row r="100" spans="2:12" ht="13.5" thickBot="1">
      <c r="B100" s="37" t="s">
        <v>86</v>
      </c>
      <c r="C100" s="27">
        <f aca="true" t="shared" si="0" ref="C100:L100">SUM(C96:C99)</f>
        <v>179.2794</v>
      </c>
      <c r="D100" s="27">
        <f t="shared" si="0"/>
        <v>395.5786765597442</v>
      </c>
      <c r="E100" s="27">
        <f t="shared" si="0"/>
        <v>77.26136814538982</v>
      </c>
      <c r="F100" s="23">
        <f t="shared" si="0"/>
        <v>384.9057448886348</v>
      </c>
      <c r="G100" s="23">
        <f t="shared" si="0"/>
        <v>1509.6570404511845</v>
      </c>
      <c r="H100" s="23">
        <f t="shared" si="0"/>
        <v>292.2660717542653</v>
      </c>
      <c r="I100" s="31">
        <f t="shared" si="0"/>
        <v>468.65541443175636</v>
      </c>
      <c r="J100" s="23">
        <f t="shared" si="0"/>
        <v>2363.5739</v>
      </c>
      <c r="K100" s="23">
        <f t="shared" si="0"/>
        <v>548.4371</v>
      </c>
      <c r="L100" s="24">
        <f t="shared" si="0"/>
        <v>1341.4154800000001</v>
      </c>
    </row>
    <row r="101" spans="2:12" ht="13.5" thickBot="1">
      <c r="B101" s="142" t="s">
        <v>88</v>
      </c>
      <c r="C101" s="143"/>
      <c r="D101" s="144"/>
      <c r="H101" s="63">
        <f>H100/0.7</f>
        <v>417.5229596489504</v>
      </c>
      <c r="I101" s="64">
        <f>I100/0.7</f>
        <v>669.5077349025091</v>
      </c>
      <c r="K101" s="63">
        <f>K100/0.7</f>
        <v>783.4815714285714</v>
      </c>
      <c r="L101" s="64">
        <f>L100/0.7</f>
        <v>1916.307828571429</v>
      </c>
    </row>
    <row r="102" spans="2:12" ht="13.5" thickBot="1">
      <c r="B102" s="142" t="s">
        <v>97</v>
      </c>
      <c r="C102" s="143"/>
      <c r="D102" s="144"/>
      <c r="G102" s="65">
        <f>G100+H100</f>
        <v>1801.9231122054498</v>
      </c>
      <c r="H102" s="88"/>
      <c r="I102" s="65">
        <f>H101+I101</f>
        <v>1087.0306945514594</v>
      </c>
      <c r="J102" s="65">
        <f>J100+K100</f>
        <v>2912.011</v>
      </c>
      <c r="K102" s="88"/>
      <c r="L102" s="65">
        <f>K101+L101</f>
        <v>2699.7894000000006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3472</v>
      </c>
      <c r="K103" s="88"/>
      <c r="L103" s="79">
        <v>3254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-1241.9341122054498</v>
      </c>
      <c r="K104" s="88"/>
      <c r="L104" s="65">
        <f>L103-I102-L102</f>
        <v>-532.82009455146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4">
      <selection activeCell="P97" sqref="P97"/>
    </sheetView>
  </sheetViews>
  <sheetFormatPr defaultColWidth="9.140625" defaultRowHeight="12.75"/>
  <cols>
    <col min="1" max="1" width="14.8515625" style="0" bestFit="1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45" t="s">
        <v>2</v>
      </c>
      <c r="D1" s="146"/>
      <c r="E1" s="147" t="s">
        <v>10</v>
      </c>
      <c r="F1" s="148"/>
      <c r="G1" s="148"/>
      <c r="H1" s="149"/>
      <c r="I1" s="15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51" t="s">
        <v>89</v>
      </c>
      <c r="H2" s="152"/>
      <c r="I2" s="15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38">
        <v>300</v>
      </c>
      <c r="D4" s="39"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0">
        <v>500</v>
      </c>
      <c r="D5" s="39">
        <v>200</v>
      </c>
      <c r="E5" s="8"/>
      <c r="F5" s="9">
        <v>8.686468646864686</v>
      </c>
      <c r="G5" s="9"/>
      <c r="H5" s="9"/>
      <c r="I5" s="10"/>
    </row>
    <row r="6" spans="1:9" ht="12.75">
      <c r="A6" s="4" t="s">
        <v>16</v>
      </c>
      <c r="B6" s="4" t="s">
        <v>17</v>
      </c>
      <c r="C6" s="40">
        <v>500</v>
      </c>
      <c r="D6" s="39">
        <v>200</v>
      </c>
      <c r="E6" s="8">
        <v>2</v>
      </c>
      <c r="F6" s="9">
        <v>8</v>
      </c>
      <c r="G6" s="9">
        <v>59</v>
      </c>
      <c r="H6" s="9"/>
      <c r="I6" s="10">
        <v>7</v>
      </c>
    </row>
    <row r="7" spans="1:9" ht="12.75">
      <c r="A7" s="4" t="s">
        <v>18</v>
      </c>
      <c r="B7" s="4" t="s">
        <v>19</v>
      </c>
      <c r="C7" s="40">
        <v>200</v>
      </c>
      <c r="D7" s="39"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0">
        <v>800</v>
      </c>
      <c r="D8" s="39"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38">
        <v>900</v>
      </c>
      <c r="D9" s="39">
        <v>200</v>
      </c>
      <c r="E9" s="8"/>
      <c r="F9" s="9">
        <v>9</v>
      </c>
      <c r="G9" s="9"/>
      <c r="H9" s="9"/>
      <c r="I9" s="10"/>
    </row>
    <row r="10" spans="1:9" ht="12.75">
      <c r="A10" s="4" t="s">
        <v>21</v>
      </c>
      <c r="B10" s="4" t="s">
        <v>19</v>
      </c>
      <c r="C10" s="40">
        <v>265</v>
      </c>
      <c r="D10" s="39">
        <v>46</v>
      </c>
      <c r="E10" s="8">
        <v>6.64</v>
      </c>
      <c r="F10" s="9">
        <v>12.6</v>
      </c>
      <c r="G10" s="9">
        <v>103</v>
      </c>
      <c r="H10" s="9">
        <v>31.4</v>
      </c>
      <c r="I10" s="10">
        <v>99.6</v>
      </c>
    </row>
    <row r="11" spans="1:9" ht="12.75">
      <c r="A11" s="4" t="s">
        <v>21</v>
      </c>
      <c r="B11" s="4" t="s">
        <v>4</v>
      </c>
      <c r="C11" s="40">
        <v>2595</v>
      </c>
      <c r="D11" s="39">
        <v>217</v>
      </c>
      <c r="E11" s="8">
        <v>86.16927705284088</v>
      </c>
      <c r="F11" s="9">
        <v>14.350135425094093</v>
      </c>
      <c r="G11" s="9">
        <v>393.84474684388863</v>
      </c>
      <c r="H11" s="9">
        <v>233.6721929504162</v>
      </c>
      <c r="I11" s="10">
        <v>274.5705856431006</v>
      </c>
    </row>
    <row r="12" spans="1:9" ht="12.75">
      <c r="A12" s="4" t="s">
        <v>21</v>
      </c>
      <c r="B12" s="4" t="s">
        <v>17</v>
      </c>
      <c r="C12" s="40">
        <v>738</v>
      </c>
      <c r="D12" s="39">
        <v>192</v>
      </c>
      <c r="E12" s="8">
        <v>4</v>
      </c>
      <c r="F12" s="9">
        <v>31</v>
      </c>
      <c r="G12" s="9">
        <v>175</v>
      </c>
      <c r="H12" s="9"/>
      <c r="I12" s="10">
        <v>21</v>
      </c>
    </row>
    <row r="13" spans="1:9" ht="12.75">
      <c r="A13" s="4" t="s">
        <v>22</v>
      </c>
      <c r="B13" s="4" t="s">
        <v>19</v>
      </c>
      <c r="C13" s="40">
        <v>192</v>
      </c>
      <c r="D13" s="39">
        <v>56</v>
      </c>
      <c r="E13" s="8">
        <v>4.81</v>
      </c>
      <c r="F13" s="9">
        <v>9.12</v>
      </c>
      <c r="G13" s="9">
        <v>74.5</v>
      </c>
      <c r="H13" s="9">
        <v>22.8</v>
      </c>
      <c r="I13" s="10">
        <v>38.7</v>
      </c>
    </row>
    <row r="14" spans="1:9" ht="12.75">
      <c r="A14" s="4" t="s">
        <v>22</v>
      </c>
      <c r="B14" s="4" t="s">
        <v>4</v>
      </c>
      <c r="C14" s="40">
        <v>1056</v>
      </c>
      <c r="D14" s="39">
        <v>308</v>
      </c>
      <c r="E14" s="8">
        <v>20.901457877494636</v>
      </c>
      <c r="F14" s="9">
        <v>20.367934151746457</v>
      </c>
      <c r="G14" s="9">
        <v>95.53206975825128</v>
      </c>
      <c r="H14" s="9">
        <v>56.68017262231285</v>
      </c>
      <c r="I14" s="10">
        <v>66.60059973230445</v>
      </c>
    </row>
    <row r="15" spans="1:9" ht="12.75">
      <c r="A15" s="4" t="s">
        <v>22</v>
      </c>
      <c r="B15" s="4" t="s">
        <v>17</v>
      </c>
      <c r="C15" s="40">
        <v>480</v>
      </c>
      <c r="D15" s="39">
        <v>140</v>
      </c>
      <c r="E15" s="8">
        <v>3</v>
      </c>
      <c r="F15" s="9">
        <v>23</v>
      </c>
      <c r="G15" s="9">
        <v>101</v>
      </c>
      <c r="H15" s="9"/>
      <c r="I15" s="10">
        <v>12</v>
      </c>
    </row>
    <row r="16" spans="1:9" ht="12.75">
      <c r="A16" s="4" t="s">
        <v>22</v>
      </c>
      <c r="B16" s="4" t="s">
        <v>23</v>
      </c>
      <c r="C16" s="40">
        <v>192</v>
      </c>
      <c r="D16" s="39">
        <v>56</v>
      </c>
      <c r="E16" s="8">
        <v>0.14</v>
      </c>
      <c r="F16" s="9"/>
      <c r="G16" s="11"/>
      <c r="H16" s="9">
        <v>4.1</v>
      </c>
      <c r="I16" s="10"/>
    </row>
    <row r="17" spans="1:9" ht="12.75">
      <c r="A17" s="4" t="s">
        <v>24</v>
      </c>
      <c r="B17" s="4" t="s">
        <v>19</v>
      </c>
      <c r="C17" s="40">
        <v>90</v>
      </c>
      <c r="D17" s="39">
        <v>8</v>
      </c>
      <c r="E17" s="8">
        <v>2.29</v>
      </c>
      <c r="F17" s="9">
        <v>4.28</v>
      </c>
      <c r="G17" s="9">
        <v>34.9</v>
      </c>
      <c r="H17" s="9">
        <v>12.2</v>
      </c>
      <c r="I17" s="10">
        <v>10.5</v>
      </c>
    </row>
    <row r="18" spans="1:9" ht="12.75">
      <c r="A18" s="4" t="s">
        <v>24</v>
      </c>
      <c r="B18" s="4" t="s">
        <v>4</v>
      </c>
      <c r="C18" s="40">
        <v>150</v>
      </c>
      <c r="D18" s="39">
        <v>12</v>
      </c>
      <c r="E18" s="8">
        <v>5.015913590793993</v>
      </c>
      <c r="F18" s="9">
        <v>0.7935558760420696</v>
      </c>
      <c r="G18" s="9">
        <v>22.925702592881986</v>
      </c>
      <c r="H18" s="9">
        <v>13.602058279912038</v>
      </c>
      <c r="I18" s="10">
        <v>15.982753705998388</v>
      </c>
    </row>
    <row r="19" spans="1:9" ht="12.75">
      <c r="A19" s="4" t="s">
        <v>24</v>
      </c>
      <c r="B19" s="4" t="s">
        <v>23</v>
      </c>
      <c r="C19" s="40">
        <v>60</v>
      </c>
      <c r="D19" s="39">
        <v>5</v>
      </c>
      <c r="E19" s="8">
        <v>0.05</v>
      </c>
      <c r="F19" s="9"/>
      <c r="G19" s="9"/>
      <c r="H19" s="9">
        <v>1.3</v>
      </c>
      <c r="I19" s="10"/>
    </row>
    <row r="20" spans="1:9" ht="12.75">
      <c r="A20" s="4" t="s">
        <v>25</v>
      </c>
      <c r="B20" s="4" t="s">
        <v>19</v>
      </c>
      <c r="C20" s="40">
        <v>200</v>
      </c>
      <c r="D20" s="39">
        <v>20</v>
      </c>
      <c r="E20" s="8">
        <v>5.01</v>
      </c>
      <c r="F20" s="9">
        <v>9.5</v>
      </c>
      <c r="G20" s="9">
        <v>77.6</v>
      </c>
      <c r="H20" s="9">
        <v>23.7</v>
      </c>
      <c r="I20" s="10">
        <v>40.3</v>
      </c>
    </row>
    <row r="21" spans="1:9" ht="12.75">
      <c r="A21" s="4" t="s">
        <v>26</v>
      </c>
      <c r="B21" s="4" t="s">
        <v>4</v>
      </c>
      <c r="C21" s="38">
        <v>700</v>
      </c>
      <c r="D21" s="39"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38">
        <v>900</v>
      </c>
      <c r="D22" s="39">
        <v>200</v>
      </c>
      <c r="E22" s="8"/>
      <c r="F22" s="9">
        <v>3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38">
        <v>660</v>
      </c>
      <c r="D23" s="39"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38">
        <v>332</v>
      </c>
      <c r="D24" s="39"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38">
        <v>450</v>
      </c>
      <c r="D25" s="39"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38">
        <v>450</v>
      </c>
      <c r="D26" s="39">
        <v>300</v>
      </c>
      <c r="E26" s="8"/>
      <c r="F26" s="9">
        <v>3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38">
        <v>1100</v>
      </c>
      <c r="D27" s="39"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38">
        <v>1600</v>
      </c>
      <c r="D28" s="39"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38">
        <v>1750</v>
      </c>
      <c r="D29" s="39">
        <v>589</v>
      </c>
      <c r="E29" s="8"/>
      <c r="F29" s="9">
        <v>8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0">
        <v>550</v>
      </c>
      <c r="D30" s="39"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0">
        <v>1000</v>
      </c>
      <c r="D31" s="39">
        <v>200</v>
      </c>
      <c r="E31" s="8"/>
      <c r="F31" s="9">
        <v>13.225931267367827</v>
      </c>
      <c r="G31" s="9"/>
      <c r="H31" s="9"/>
      <c r="I31" s="10"/>
    </row>
    <row r="32" spans="1:9" ht="12.75">
      <c r="A32" s="4" t="s">
        <v>34</v>
      </c>
      <c r="B32" s="4" t="s">
        <v>17</v>
      </c>
      <c r="C32" s="38">
        <v>795</v>
      </c>
      <c r="D32" s="39">
        <v>200</v>
      </c>
      <c r="E32" s="8"/>
      <c r="F32" s="9">
        <v>3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0">
        <v>250</v>
      </c>
      <c r="D33" s="39"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0">
        <v>142</v>
      </c>
      <c r="D34" s="39"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0">
        <v>250</v>
      </c>
      <c r="D35" s="39">
        <v>8</v>
      </c>
      <c r="E35" s="8"/>
      <c r="F35" s="9">
        <v>1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0">
        <v>111</v>
      </c>
      <c r="D36" s="39"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0">
        <v>525</v>
      </c>
      <c r="D37" s="39"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0">
        <v>225</v>
      </c>
      <c r="D38" s="39">
        <v>42</v>
      </c>
      <c r="E38" s="8"/>
      <c r="F38" s="9">
        <v>1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0">
        <v>600</v>
      </c>
      <c r="D39" s="39"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0">
        <v>300</v>
      </c>
      <c r="D40" s="39">
        <v>27</v>
      </c>
      <c r="E40" s="8">
        <v>9.838413968429945</v>
      </c>
      <c r="F40" s="9">
        <v>1.7855007210946567</v>
      </c>
      <c r="G40" s="9">
        <v>44.967391990135326</v>
      </c>
      <c r="H40" s="9">
        <v>26.679622317676603</v>
      </c>
      <c r="I40" s="10">
        <v>31.349213751144177</v>
      </c>
    </row>
    <row r="41" spans="1:9" ht="12.75">
      <c r="A41" s="4" t="s">
        <v>38</v>
      </c>
      <c r="B41" s="4" t="s">
        <v>19</v>
      </c>
      <c r="C41" s="40">
        <v>910</v>
      </c>
      <c r="D41" s="39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0">
        <v>1000</v>
      </c>
      <c r="D42" s="39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0">
        <v>1120</v>
      </c>
      <c r="D43" s="39">
        <v>390</v>
      </c>
      <c r="E43" s="8">
        <v>1</v>
      </c>
      <c r="F43" s="9">
        <v>21</v>
      </c>
      <c r="G43" s="9">
        <v>38</v>
      </c>
      <c r="H43" s="9"/>
      <c r="I43" s="10">
        <v>5</v>
      </c>
    </row>
    <row r="44" spans="1:9" ht="12.75">
      <c r="A44" s="4" t="s">
        <v>38</v>
      </c>
      <c r="B44" s="4" t="s">
        <v>23</v>
      </c>
      <c r="C44" s="40">
        <v>1035</v>
      </c>
      <c r="D44" s="39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0">
        <v>719</v>
      </c>
      <c r="D45" s="39"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0">
        <v>1036</v>
      </c>
      <c r="D46" s="39">
        <v>276</v>
      </c>
      <c r="E46" s="8"/>
      <c r="F46" s="9">
        <v>4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0">
        <v>300</v>
      </c>
      <c r="D47" s="39"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0">
        <v>185</v>
      </c>
      <c r="D48" s="39"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0">
        <v>230</v>
      </c>
      <c r="D49" s="39">
        <v>80</v>
      </c>
      <c r="E49" s="8"/>
      <c r="F49" s="9">
        <v>4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0">
        <v>265</v>
      </c>
      <c r="D50" s="39"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38">
        <v>200</v>
      </c>
      <c r="D51" s="39"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0">
        <v>200</v>
      </c>
      <c r="D52" s="39">
        <v>35</v>
      </c>
      <c r="E52" s="8"/>
      <c r="F52" s="9">
        <v>1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0">
        <v>154</v>
      </c>
      <c r="D53" s="39"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0">
        <v>3024</v>
      </c>
      <c r="D54" s="39"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0">
        <v>851</v>
      </c>
      <c r="D55" s="39">
        <v>106</v>
      </c>
      <c r="E55" s="8"/>
      <c r="F55" s="9">
        <v>2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0">
        <v>796</v>
      </c>
      <c r="D56" s="39"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0">
        <v>560</v>
      </c>
      <c r="D57" s="39"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0">
        <v>240</v>
      </c>
      <c r="D58" s="39">
        <v>30</v>
      </c>
      <c r="E58" s="8"/>
      <c r="F58" s="9">
        <v>2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38">
        <v>1090</v>
      </c>
      <c r="D59" s="39"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38">
        <v>1700</v>
      </c>
      <c r="D60" s="39"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38">
        <v>1100</v>
      </c>
      <c r="D61" s="39"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38">
        <v>1000</v>
      </c>
      <c r="D62" s="39">
        <v>200</v>
      </c>
      <c r="E62" s="8"/>
      <c r="F62" s="9">
        <v>3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38">
        <v>1000</v>
      </c>
      <c r="D63" s="39">
        <v>200</v>
      </c>
      <c r="E63" s="8"/>
      <c r="F63" s="9">
        <v>3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38">
        <v>1000</v>
      </c>
      <c r="D64" s="39">
        <v>200</v>
      </c>
      <c r="E64" s="8"/>
      <c r="F64" s="9">
        <v>3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38">
        <v>1000</v>
      </c>
      <c r="D65" s="39">
        <v>200</v>
      </c>
      <c r="E65" s="8"/>
      <c r="F65" s="9">
        <v>3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38">
        <v>1000</v>
      </c>
      <c r="D66" s="39">
        <v>200</v>
      </c>
      <c r="E66" s="8"/>
      <c r="F66" s="9">
        <v>3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38">
        <v>1000</v>
      </c>
      <c r="D67" s="39">
        <v>200</v>
      </c>
      <c r="E67" s="8"/>
      <c r="F67" s="9">
        <v>3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38">
        <v>1000</v>
      </c>
      <c r="D68" s="39">
        <v>200</v>
      </c>
      <c r="E68" s="8"/>
      <c r="F68" s="9">
        <v>3</v>
      </c>
      <c r="G68" s="9"/>
      <c r="H68" s="9"/>
      <c r="I68" s="10"/>
    </row>
    <row r="69" spans="1:9" ht="12.75">
      <c r="A69" s="70"/>
      <c r="B69" s="66"/>
      <c r="C69" s="67"/>
      <c r="D69" s="71"/>
      <c r="E69" s="13"/>
      <c r="F69" s="68"/>
      <c r="G69" s="68"/>
      <c r="H69" s="68"/>
      <c r="I69" s="60"/>
    </row>
    <row r="70" spans="1:9" ht="12.75">
      <c r="A70" s="4" t="s">
        <v>56</v>
      </c>
      <c r="B70" s="4" t="s">
        <v>4</v>
      </c>
      <c r="C70" s="40"/>
      <c r="D70" s="41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49">
        <v>1050</v>
      </c>
      <c r="D71" s="50">
        <v>270</v>
      </c>
      <c r="E71" s="8">
        <v>6</v>
      </c>
      <c r="F71" s="9">
        <v>12</v>
      </c>
      <c r="G71" s="9">
        <v>251</v>
      </c>
      <c r="H71" s="9"/>
      <c r="I71" s="10">
        <v>30</v>
      </c>
    </row>
    <row r="72" spans="1:9" ht="12.75">
      <c r="A72" s="4" t="s">
        <v>58</v>
      </c>
      <c r="B72" s="4" t="s">
        <v>4</v>
      </c>
      <c r="C72" s="40"/>
      <c r="D72" s="41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0">
        <v>500</v>
      </c>
      <c r="D73" s="41">
        <v>27</v>
      </c>
      <c r="E73" s="8"/>
      <c r="F73" s="9">
        <v>1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0"/>
      <c r="D74" s="41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0"/>
      <c r="D75" s="41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0"/>
      <c r="D76" s="41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0"/>
      <c r="D77" s="41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0">
        <v>200</v>
      </c>
      <c r="D78" s="41">
        <v>100</v>
      </c>
      <c r="E78" s="46"/>
      <c r="F78" s="9">
        <v>1</v>
      </c>
      <c r="G78" s="47"/>
      <c r="H78" s="47"/>
      <c r="I78" s="48"/>
    </row>
    <row r="79" spans="1:9" ht="12.75">
      <c r="A79" s="4" t="s">
        <v>62</v>
      </c>
      <c r="B79" s="4" t="s">
        <v>4</v>
      </c>
      <c r="C79" s="40"/>
      <c r="D79" s="41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0"/>
      <c r="D80" s="41"/>
      <c r="E80" s="8"/>
      <c r="F80" s="9"/>
      <c r="G80" s="9"/>
      <c r="H80" s="9"/>
      <c r="I80" s="10"/>
    </row>
    <row r="81" spans="1:9" ht="12.75">
      <c r="A81" s="70"/>
      <c r="B81" s="66"/>
      <c r="C81" s="67"/>
      <c r="D81" s="71"/>
      <c r="E81" s="13"/>
      <c r="F81" s="68"/>
      <c r="G81" s="68"/>
      <c r="H81" s="68"/>
      <c r="I81" s="60"/>
    </row>
    <row r="82" spans="1:9" ht="12.75">
      <c r="A82" s="4" t="s">
        <v>64</v>
      </c>
      <c r="B82" s="4" t="s">
        <v>19</v>
      </c>
      <c r="C82" s="40">
        <v>600</v>
      </c>
      <c r="D82" s="41">
        <v>2</v>
      </c>
      <c r="E82" s="8">
        <v>14.2</v>
      </c>
      <c r="F82" s="9">
        <v>28.5</v>
      </c>
      <c r="G82" s="9">
        <v>211</v>
      </c>
      <c r="H82" s="9">
        <v>64.1</v>
      </c>
      <c r="I82" s="10">
        <v>96.4</v>
      </c>
    </row>
    <row r="83" spans="1:9" ht="12.75">
      <c r="A83" s="4" t="s">
        <v>65</v>
      </c>
      <c r="B83" s="4" t="s">
        <v>19</v>
      </c>
      <c r="C83" s="40">
        <v>20</v>
      </c>
      <c r="D83" s="41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0"/>
      <c r="D84" s="41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0"/>
      <c r="D85" s="41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0">
        <v>80</v>
      </c>
      <c r="D86" s="41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0">
        <v>150</v>
      </c>
      <c r="D87" s="41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0">
        <v>96</v>
      </c>
      <c r="D88" s="41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0">
        <v>132</v>
      </c>
      <c r="D89" s="41">
        <v>10</v>
      </c>
      <c r="E89" s="8"/>
      <c r="F89" s="9"/>
      <c r="G89" s="9"/>
      <c r="H89" s="9"/>
      <c r="I89" s="10"/>
    </row>
    <row r="90" spans="1:9" ht="12.75">
      <c r="A90" s="56" t="s">
        <v>82</v>
      </c>
      <c r="B90" s="56" t="s">
        <v>19</v>
      </c>
      <c r="C90" s="57">
        <v>1700</v>
      </c>
      <c r="D90" s="57">
        <v>813</v>
      </c>
      <c r="E90" s="15"/>
      <c r="F90" s="16"/>
      <c r="G90" s="16"/>
      <c r="H90" s="16"/>
      <c r="I90" s="17"/>
    </row>
    <row r="91" spans="1:9" ht="12.75">
      <c r="A91" s="18" t="s">
        <v>84</v>
      </c>
      <c r="B91" s="18" t="s">
        <v>17</v>
      </c>
      <c r="C91" s="44">
        <v>200</v>
      </c>
      <c r="D91" s="45">
        <v>100</v>
      </c>
      <c r="E91" s="15"/>
      <c r="F91" s="16">
        <v>4</v>
      </c>
      <c r="G91" s="16"/>
      <c r="H91" s="16"/>
      <c r="I91" s="17"/>
    </row>
    <row r="92" spans="1:9" ht="12.75">
      <c r="A92" s="92" t="s">
        <v>108</v>
      </c>
      <c r="B92" s="4" t="s">
        <v>19</v>
      </c>
      <c r="C92" s="40"/>
      <c r="D92" s="93"/>
      <c r="E92" s="8"/>
      <c r="F92" s="9"/>
      <c r="G92" s="9"/>
      <c r="H92" s="9"/>
      <c r="I92" s="10"/>
    </row>
    <row r="93" spans="1:9" ht="13.5" thickBot="1">
      <c r="A93" s="94" t="s">
        <v>109</v>
      </c>
      <c r="B93" s="61" t="s">
        <v>19</v>
      </c>
      <c r="C93" s="62"/>
      <c r="D93" s="95"/>
      <c r="E93" s="32"/>
      <c r="F93" s="33"/>
      <c r="G93" s="33"/>
      <c r="H93" s="33"/>
      <c r="I93" s="34"/>
    </row>
    <row r="94" spans="1:12" ht="13.5" thickBot="1">
      <c r="A94" s="138" t="s">
        <v>85</v>
      </c>
      <c r="B94" s="139"/>
      <c r="C94" s="72" t="s">
        <v>92</v>
      </c>
      <c r="D94" s="73" t="s">
        <v>91</v>
      </c>
      <c r="E94" s="74" t="s">
        <v>80</v>
      </c>
      <c r="F94" s="75" t="s">
        <v>81</v>
      </c>
      <c r="G94" s="151" t="s">
        <v>93</v>
      </c>
      <c r="H94" s="152"/>
      <c r="I94" s="152"/>
      <c r="J94" s="132" t="s">
        <v>94</v>
      </c>
      <c r="K94" s="133"/>
      <c r="L94" s="134"/>
    </row>
    <row r="95" spans="1:12" ht="26.25" thickBot="1">
      <c r="A95" s="140"/>
      <c r="B95" s="141"/>
      <c r="C95" s="76" t="s">
        <v>70</v>
      </c>
      <c r="D95" s="77" t="s">
        <v>70</v>
      </c>
      <c r="E95" s="77" t="s">
        <v>70</v>
      </c>
      <c r="F95" s="77" t="s">
        <v>70</v>
      </c>
      <c r="G95" s="77" t="s">
        <v>71</v>
      </c>
      <c r="H95" s="77" t="s">
        <v>72</v>
      </c>
      <c r="I95" s="77" t="s">
        <v>73</v>
      </c>
      <c r="J95" s="77" t="s">
        <v>71</v>
      </c>
      <c r="K95" s="77" t="s">
        <v>72</v>
      </c>
      <c r="L95" s="78" t="s">
        <v>73</v>
      </c>
    </row>
    <row r="96" spans="1:12" ht="12.75">
      <c r="A96" s="19"/>
      <c r="B96" s="35" t="s">
        <v>19</v>
      </c>
      <c r="C96" s="80">
        <v>27.9</v>
      </c>
      <c r="D96" s="81">
        <v>17.2</v>
      </c>
      <c r="E96" s="25">
        <f>E7+E10+E13+E17+E20+E23+E25+E27+E33+E39+E41+E53+E57+E77+E82+E83+E84+E85+E86+E87+E88+E89+E90</f>
        <v>32.95</v>
      </c>
      <c r="F96" s="21">
        <f>F7+F10+F13+F17+F20+F23+F25+F27+F33+F39+F41+F53+F57+F77+F82+F83+F84+F85+F86+F87+F88+F89+F90</f>
        <v>64</v>
      </c>
      <c r="G96" s="21">
        <f>G7+G10+G13+G17+G20+G23+G25+G27+G33+G39+G41+G53+G57+G77+G82+G83+G84+G85+G86+G87+G88+G89+G90</f>
        <v>501</v>
      </c>
      <c r="H96" s="21">
        <f>H7+H10+H13+H17+H20+H23+H25+H27+H33+H39+H41+H53+H57+H77+H82+H83+H84+H85+H86+H87+H88+H89+H90</f>
        <v>154.2</v>
      </c>
      <c r="I96" s="30">
        <f>I7+I10+I13+I17+I20+I23+I25+I27+I33+I39+I41+I53+I57+I77+I82+I83+I84+I85+I86+I87+I88+I89+I90</f>
        <v>285.5</v>
      </c>
      <c r="J96" s="81">
        <f>41.7+380</f>
        <v>421.7</v>
      </c>
      <c r="K96" s="81">
        <f>41.7+49.2</f>
        <v>90.9</v>
      </c>
      <c r="L96" s="82">
        <f>58.4+248</f>
        <v>306.4</v>
      </c>
    </row>
    <row r="97" spans="2:12" ht="12.75">
      <c r="B97" s="36" t="s">
        <v>4</v>
      </c>
      <c r="C97" s="8">
        <v>75.438</v>
      </c>
      <c r="D97" s="9">
        <v>213.91903016607876</v>
      </c>
      <c r="E97" s="26">
        <f>E4+E5+E8+E11+E14+E18+E21+E24+E28+E31+E34+E37+E40+E42+E45+E48+E51+E54+E59+E60+E61+E70+E72+E75+E76+E79+E80</f>
        <v>121.92506248955947</v>
      </c>
      <c r="F97" s="9">
        <f>F4+F5+F8+F11+F14+F18+F21+F24+F28+F31+F34+F37+F40+F42+F45+F48+F51+F54+F59+F60+F61+F70+F72+F75+F76+F79+F80</f>
        <v>59.209526088209785</v>
      </c>
      <c r="G97" s="9">
        <f>G4+G5+G8+G11+G14+G18+G21+G24+G28+G31+G34+G37+G40+G42+G45+G48+G51+G54+G59+G60+G61+G70+G72+G75+G76+G79+G80</f>
        <v>557.2699111851572</v>
      </c>
      <c r="H97" s="9">
        <f>H4+H5+H8+H11+H14+H18+H21+H24+H28+H31+H34+H37+H40+H42+H45+H48+H51+H54+H59+H60+H61+H70+H72+H75+H76+H79+H80</f>
        <v>330.6340461703177</v>
      </c>
      <c r="I97" s="14">
        <f>I4+I5+I8+I11+I14+I18+I21+I24+I28+I31+I34+I37+I40+I42+I45+I48+I51+I54+I59+I60+I61+I70+I72+I75+I76+I79+I80</f>
        <v>388.50315283254764</v>
      </c>
      <c r="J97" s="9">
        <v>387.45300000000003</v>
      </c>
      <c r="K97" s="9">
        <v>330.51700000000005</v>
      </c>
      <c r="L97" s="10">
        <v>426.1796</v>
      </c>
    </row>
    <row r="98" spans="2:12" ht="12.75">
      <c r="B98" s="36" t="s">
        <v>17</v>
      </c>
      <c r="C98" s="46">
        <v>43</v>
      </c>
      <c r="D98" s="47">
        <v>151</v>
      </c>
      <c r="E98" s="26">
        <f>E6+E9+E12+E15+E22+E26+E29+E32+E35++E38+E43+E46+E49+E52+E55+E58+E62+E63+E64+E65+E66+E67+E68+E71+E73+E78+E91</f>
        <v>16</v>
      </c>
      <c r="F98" s="9">
        <f>F6+F9+F12+F15+F22+F26+F29+F32+F35++F38+F43+F46+F49+F52+F55+F58+F62+F63+F64+F65+F66+F67+F68+F71+F73+F78+F91</f>
        <v>163</v>
      </c>
      <c r="G98" s="9">
        <f>G6+G9+G12+G15+G22+G26+G29+G32+G35++G38+G43+G46+G49+G52+G55+G58+G62+G63+G64+G65+G66+G67+G68+G71+G73+G78+G91</f>
        <v>624</v>
      </c>
      <c r="H98" s="9">
        <f>H6+H9+H12+H15+H22+H26+H29+H32+H35++H38+H43+H46+H49+H52+H55+H58+H62+H63+H64+H65+H66+H67+H68+H71+H73+H78+H91</f>
        <v>0</v>
      </c>
      <c r="I98" s="14">
        <f>I6+I9+I12+I15+I22+I26+I29+I32+I35++I38+I43+I46+I49+I52+I55+I58+I62+I63+I64+I65+I66+I67+I68+I71+I73+I78+I91</f>
        <v>75</v>
      </c>
      <c r="J98" s="9">
        <v>784</v>
      </c>
      <c r="K98" s="9">
        <v>0</v>
      </c>
      <c r="L98" s="10">
        <v>471</v>
      </c>
    </row>
    <row r="99" spans="2:12" ht="12.75">
      <c r="B99" s="36" t="s">
        <v>23</v>
      </c>
      <c r="C99" s="46">
        <v>22.6</v>
      </c>
      <c r="D99" s="47">
        <v>115.9</v>
      </c>
      <c r="E99" s="26">
        <f>E16+E19+E30+E36+E44+E47+E50+E56+E74</f>
        <v>0.19</v>
      </c>
      <c r="F99" s="9">
        <f>F16+F19+F30+F36+F44+F47+F50+F56+F74</f>
        <v>0</v>
      </c>
      <c r="G99" s="9">
        <f>G16+G19+G30+G36+G44+G47+G50+G56+G74</f>
        <v>0</v>
      </c>
      <c r="H99" s="9">
        <f>H16+H19+H30+H36+H44+H47+H50+H56+H74</f>
        <v>5.3999999999999995</v>
      </c>
      <c r="I99" s="14">
        <f>I16+I19+I30+I36+I44+I47+I50+I56+I74</f>
        <v>0</v>
      </c>
      <c r="J99" s="9">
        <v>469</v>
      </c>
      <c r="K99" s="9">
        <v>49</v>
      </c>
      <c r="L99" s="10">
        <v>218</v>
      </c>
    </row>
    <row r="100" spans="2:12" ht="13.5" thickBot="1">
      <c r="B100" s="37" t="s">
        <v>86</v>
      </c>
      <c r="C100" s="27">
        <f aca="true" t="shared" si="0" ref="C100:L100">SUM(C96:C99)</f>
        <v>168.938</v>
      </c>
      <c r="D100" s="27">
        <f t="shared" si="0"/>
        <v>498.0190301660788</v>
      </c>
      <c r="E100" s="27">
        <f t="shared" si="0"/>
        <v>171.06506248955947</v>
      </c>
      <c r="F100" s="23">
        <f t="shared" si="0"/>
        <v>286.20952608820977</v>
      </c>
      <c r="G100" s="23">
        <f t="shared" si="0"/>
        <v>1682.269911185157</v>
      </c>
      <c r="H100" s="23">
        <f t="shared" si="0"/>
        <v>490.23404617031764</v>
      </c>
      <c r="I100" s="31">
        <f t="shared" si="0"/>
        <v>749.0031528325476</v>
      </c>
      <c r="J100" s="23">
        <f t="shared" si="0"/>
        <v>2062.1530000000002</v>
      </c>
      <c r="K100" s="23">
        <f t="shared" si="0"/>
        <v>470.41700000000003</v>
      </c>
      <c r="L100" s="24">
        <f t="shared" si="0"/>
        <v>1421.5796</v>
      </c>
    </row>
    <row r="101" spans="2:12" ht="13.5" thickBot="1">
      <c r="B101" s="142" t="s">
        <v>88</v>
      </c>
      <c r="C101" s="143"/>
      <c r="D101" s="144"/>
      <c r="H101" s="63">
        <f>H100/0.7</f>
        <v>700.3343516718824</v>
      </c>
      <c r="I101" s="64">
        <f>I100/0.7</f>
        <v>1070.0045040464965</v>
      </c>
      <c r="K101" s="63">
        <f>K100/0.7</f>
        <v>672.0242857142858</v>
      </c>
      <c r="L101" s="64">
        <f>L100/0.7</f>
        <v>2030.8280000000002</v>
      </c>
    </row>
    <row r="102" spans="2:12" ht="13.5" thickBot="1">
      <c r="B102" s="142" t="s">
        <v>97</v>
      </c>
      <c r="C102" s="143"/>
      <c r="D102" s="144"/>
      <c r="G102" s="65">
        <f>G100+H100</f>
        <v>2172.5039573554745</v>
      </c>
      <c r="H102" s="88"/>
      <c r="I102" s="65">
        <f>H101+I101</f>
        <v>1770.338855718379</v>
      </c>
      <c r="J102" s="65">
        <f>J100+K100</f>
        <v>2532.57</v>
      </c>
      <c r="K102" s="88"/>
      <c r="L102" s="65">
        <f>K101+L101</f>
        <v>2702.852285714286</v>
      </c>
    </row>
    <row r="103" spans="2:12" ht="13.5" thickBot="1">
      <c r="B103" s="135" t="s">
        <v>95</v>
      </c>
      <c r="C103" s="136"/>
      <c r="D103" s="137"/>
      <c r="G103" s="88"/>
      <c r="H103" s="88"/>
      <c r="I103" s="88"/>
      <c r="J103" s="65">
        <v>3464</v>
      </c>
      <c r="K103" s="88"/>
      <c r="L103" s="79">
        <v>3790</v>
      </c>
    </row>
    <row r="104" spans="2:12" ht="13.5" thickBot="1">
      <c r="B104" s="142" t="s">
        <v>96</v>
      </c>
      <c r="C104" s="143"/>
      <c r="D104" s="144"/>
      <c r="G104" s="88"/>
      <c r="H104" s="88"/>
      <c r="I104" s="88"/>
      <c r="J104" s="65">
        <f>J103-G102-J102</f>
        <v>-1241.0739573554747</v>
      </c>
      <c r="K104" s="88"/>
      <c r="L104" s="65">
        <f>L103-I102-L102</f>
        <v>-683.1911414326651</v>
      </c>
    </row>
  </sheetData>
  <mergeCells count="10">
    <mergeCell ref="J94:L94"/>
    <mergeCell ref="B103:D103"/>
    <mergeCell ref="B104:D104"/>
    <mergeCell ref="C1:D1"/>
    <mergeCell ref="E1:I1"/>
    <mergeCell ref="G2:I2"/>
    <mergeCell ref="B101:D101"/>
    <mergeCell ref="B102:D102"/>
    <mergeCell ref="A94:B95"/>
    <mergeCell ref="G94:I94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</dc:creator>
  <cp:keywords/>
  <dc:description/>
  <cp:lastModifiedBy>djacobs</cp:lastModifiedBy>
  <cp:lastPrinted>2006-09-05T13:30:49Z</cp:lastPrinted>
  <dcterms:created xsi:type="dcterms:W3CDTF">2006-06-28T06:49:30Z</dcterms:created>
  <dcterms:modified xsi:type="dcterms:W3CDTF">2006-09-05T14:57:50Z</dcterms:modified>
  <cp:category/>
  <cp:version/>
  <cp:contentType/>
  <cp:contentStatus/>
</cp:coreProperties>
</file>